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6" i="3" l="1"/>
  <c r="B3" i="2"/>
  <c r="A4" i="1"/>
  <c r="N4" i="1" s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4" i="2"/>
  <c r="L16" i="2"/>
  <c r="L18" i="2"/>
  <c r="L19" i="2"/>
  <c r="L22" i="2"/>
  <c r="L24" i="2"/>
  <c r="L26" i="2"/>
  <c r="L27" i="2"/>
  <c r="L29" i="2"/>
  <c r="L31" i="2"/>
  <c r="L33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8" i="7"/>
  <c r="F22" i="7" l="1"/>
  <c r="G22" i="7" s="1"/>
  <c r="F24" i="7"/>
  <c r="G24" i="7" s="1"/>
  <c r="F26" i="7"/>
  <c r="G26" i="7" s="1"/>
  <c r="G9" i="7"/>
  <c r="G13" i="7"/>
  <c r="G8" i="7"/>
  <c r="F25" i="7"/>
  <c r="G25" i="7" s="1"/>
  <c r="G28" i="7"/>
  <c r="F19" i="7"/>
  <c r="G19" i="7" s="1"/>
  <c r="F21" i="7"/>
  <c r="G21" i="7" s="1"/>
  <c r="F23" i="7"/>
  <c r="G23" i="7" s="1"/>
  <c r="F27" i="7"/>
  <c r="G27" i="7" s="1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AW7" i="1"/>
  <c r="AW8" i="1"/>
  <c r="AW9" i="1"/>
  <c r="AW10" i="1"/>
  <c r="BB10" i="1" s="1"/>
  <c r="AW11" i="1"/>
  <c r="AW12" i="1"/>
  <c r="BB12" i="1" s="1"/>
  <c r="AW13" i="1"/>
  <c r="AW14" i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11" i="1" l="1"/>
  <c r="AO8" i="1"/>
  <c r="AO6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AX23" i="1"/>
  <c r="AX21" i="1"/>
  <c r="AX19" i="1"/>
  <c r="AX17" i="1"/>
  <c r="BC17" i="1"/>
  <c r="AX15" i="1"/>
  <c r="AX13" i="1"/>
  <c r="AX11" i="1"/>
  <c r="AX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AX20" i="1"/>
  <c r="BC20" i="1"/>
  <c r="AX18" i="1"/>
  <c r="BC18" i="1"/>
  <c r="AX16" i="1"/>
  <c r="AX14" i="1"/>
  <c r="AX12" i="1"/>
  <c r="BC12" i="1"/>
  <c r="AX10" i="1"/>
  <c r="BC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4" i="2" l="1"/>
  <c r="L30" i="2"/>
  <c r="L32" i="2"/>
  <c r="L28" i="2"/>
  <c r="L20" i="2"/>
  <c r="L23" i="2"/>
  <c r="L21" i="2"/>
  <c r="L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Y17" i="1"/>
  <c r="AZ17" i="1" s="1"/>
  <c r="AY25" i="1"/>
  <c r="AZ25" i="1" s="1"/>
  <c r="BC25" i="1" s="1"/>
  <c r="L17" i="2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Z12" i="1" s="1"/>
  <c r="AY16" i="1"/>
  <c r="AZ16" i="1" s="1"/>
  <c r="BC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Y21" i="1"/>
  <c r="AZ21" i="1" s="1"/>
  <c r="BC21" i="1" s="1"/>
  <c r="L13" i="2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Y10" i="1"/>
  <c r="AZ10" i="1" s="1"/>
  <c r="AY14" i="1"/>
  <c r="AY18" i="1"/>
  <c r="AZ18" i="1" s="1"/>
  <c r="AY22" i="1"/>
  <c r="AZ22" i="1" s="1"/>
  <c r="BC22" i="1" s="1"/>
  <c r="L15" i="2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" i="1" l="1"/>
  <c r="BB14" i="1"/>
  <c r="AZ6" i="1"/>
  <c r="BB6" i="1"/>
  <c r="AZ13" i="1"/>
  <c r="BB13" i="1"/>
  <c r="BC13" i="1" s="1"/>
  <c r="AZ8" i="1"/>
  <c r="BB8" i="1"/>
  <c r="BC8" i="1" s="1"/>
  <c r="AZ9" i="1"/>
  <c r="BB9" i="1"/>
  <c r="BC9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5" i="2" l="1"/>
  <c r="BC6" i="1"/>
  <c r="L3" i="2" s="1"/>
  <c r="BC14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L7" i="2" s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L12" i="2" s="1"/>
  <c r="BC35" i="1"/>
  <c r="BC62" i="1"/>
  <c r="BC78" i="1"/>
  <c r="BC27" i="1"/>
  <c r="L9" i="2" l="1"/>
  <c r="K2" i="2" s="1"/>
  <c r="D7" i="5" s="1"/>
  <c r="C7" i="5"/>
  <c r="E7" i="5" l="1"/>
</calcChain>
</file>

<file path=xl/sharedStrings.xml><?xml version="1.0" encoding="utf-8"?>
<sst xmlns="http://schemas.openxmlformats.org/spreadsheetml/2006/main" count="647" uniqueCount="104">
  <si>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</si>
  <si>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</si>
  <si>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</si>
  <si>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</si>
  <si>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</si>
  <si>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</si>
  <si>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</si>
  <si>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</si>
  <si>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</si>
  <si>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</si>
  <si>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</si>
  <si>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</si>
  <si>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</si>
  <si>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</si>
  <si>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</si>
  <si>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</si>
  <si>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</si>
  <si>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</si>
  <si>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</si>
  <si>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</si>
  <si>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</si>
  <si>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</si>
  <si>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</si>
  <si>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</si>
  <si>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</si>
  <si>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</si>
  <si>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</si>
  <si>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</si>
  <si>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</si>
  <si>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</si>
  <si>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</si>
  <si>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</si>
  <si>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</si>
  <si>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</si>
  <si>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</si>
  <si>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</si>
  <si>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</si>
  <si>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</si>
  <si>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</si>
  <si>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</si>
  <si>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</si>
  <si>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</si>
  <si>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</si>
  <si>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</si>
  <si>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</si>
  <si>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</si>
  <si>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</si>
  <si>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</si>
  <si>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</si>
  <si>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</si>
  <si>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</si>
  <si>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</si>
  <si>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</si>
  <si>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</si>
  <si>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</si>
  <si>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</si>
  <si>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</si>
  <si>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</si>
  <si>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</si>
  <si>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</si>
  <si>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</si>
  <si>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</si>
  <si>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</si>
  <si>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</si>
  <si>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</si>
  <si>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</si>
  <si>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</si>
  <si>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</si>
  <si>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</si>
  <si>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</si>
  <si>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</si>
  <si>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</si>
  <si>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</si>
  <si>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</si>
  <si>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</si>
  <si>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O565275</t>
  </si>
  <si>
    <t>AGR SERVICIOS SRL,</t>
  </si>
  <si>
    <t>30-71595903-4</t>
  </si>
  <si>
    <t>28507974-30094172596231</t>
  </si>
  <si>
    <t>Bonificación</t>
  </si>
  <si>
    <t>Obligaciones Previsionales</t>
  </si>
  <si>
    <t>Dj Seg. Soc. Sipa Dto. 332</t>
  </si>
  <si>
    <t>Intereses Resarcitorios</t>
  </si>
  <si>
    <t>Dj Seg. Soc. No Sipa Dto. 332</t>
  </si>
  <si>
    <t>Empleador-Aportes Seg. Social</t>
  </si>
  <si>
    <t>2020/8</t>
  </si>
  <si>
    <t>Pendiente</t>
  </si>
  <si>
    <t>2020/12</t>
  </si>
  <si>
    <t>-</t>
  </si>
  <si>
    <t xml:space="preserve"> </t>
  </si>
  <si>
    <t>AGR</t>
  </si>
  <si>
    <t>P782085</t>
  </si>
  <si>
    <t>Detalle de Obligaciones Regularizadas - Obligaciones Impositivas</t>
  </si>
  <si>
    <t>Ganancias Sociedades</t>
  </si>
  <si>
    <t>Pago a cuenta</t>
  </si>
  <si>
    <t>2021/0</t>
  </si>
  <si>
    <t>Pagado</t>
  </si>
  <si>
    <t>Q792240</t>
  </si>
  <si>
    <t>Bp-Acciones O Participaciones</t>
  </si>
  <si>
    <t>$ 57.243,28</t>
  </si>
  <si>
    <t>$ 0,00</t>
  </si>
  <si>
    <t>R286457</t>
  </si>
  <si>
    <t>Iva</t>
  </si>
  <si>
    <t>2023/1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</si>
</sst>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&quot;$&quot;\ #,##0.00;[Red]\-&quot;$&quot;\ #,##0.00"/>
    <numFmt numFmtId="165" formatCode="0.0%"/>
    <numFmt numFmtId="166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8"/>
      <color rgb="FF333333"/>
      <name val="Arial"/>
      <family val="2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21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6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6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6" fontId="0" fillId="0" borderId="0" xfId="0" applyNumberFormat="1" applyProtection="1">
      <protection hidden="1"/>
    </xf>
    <xf numFmtId="166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2" fillId="18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left" vertical="top" wrapText="1"/>
    </xf>
    <xf numFmtId="0" fontId="15" fillId="0" borderId="0" xfId="0" applyFont="1"/>
    <xf numFmtId="0" fontId="14" fillId="0" borderId="0" xfId="0" applyFont="1" applyAlignment="1" applyProtection="1">
      <alignment horizontal="left" wrapText="1" indent="1"/>
      <protection locked="0"/>
    </xf>
    <xf numFmtId="0" fontId="8" fillId="17" borderId="2" xfId="0" applyFont="1" applyFill="1" applyBorder="1" applyAlignment="1">
      <alignment horizontal="right" vertical="top" wrapText="1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0" fontId="0" fillId="9" borderId="17" xfId="0" applyFill="1" applyBorder="1" applyProtection="1">
      <protection locked="0"/>
    </xf>
    <xf numFmtId="0" fontId="0" fillId="9" borderId="18" xfId="0" applyFill="1" applyBorder="1" applyProtection="1">
      <protection locked="0"/>
    </xf>
    <xf numFmtId="10" fontId="0" fillId="9" borderId="17" xfId="0" applyNumberFormat="1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9" xfId="0" applyFill="1" applyBorder="1" applyProtection="1">
      <protection locked="0"/>
    </xf>
    <xf numFmtId="0" fontId="0" fillId="9" borderId="20" xfId="0" applyFill="1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5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5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6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6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E34" sqref="E3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7" t="s">
        <v>31</v>
      </c>
      <c r="C2" s="139" t="s">
        <v>60</v>
      </c>
      <c r="D2" s="139" t="s">
        <v>61</v>
      </c>
      <c r="E2" s="137" t="s">
        <v>39</v>
      </c>
      <c r="F2" s="137" t="s">
        <v>58</v>
      </c>
      <c r="G2" s="137" t="s">
        <v>62</v>
      </c>
      <c r="H2" s="141" t="s">
        <v>34</v>
      </c>
      <c r="I2" s="135" t="s">
        <v>32</v>
      </c>
      <c r="J2" s="143" t="s">
        <v>59</v>
      </c>
      <c r="L2" s="131" t="s">
        <v>40</v>
      </c>
      <c r="M2" s="133">
        <v>0.12</v>
      </c>
      <c r="N2" s="9" t="s">
        <v>43</v>
      </c>
    </row>
    <row r="3" spans="2:19" ht="15.75" thickBot="1">
      <c r="B3" s="138"/>
      <c r="C3" s="140"/>
      <c r="D3" s="140"/>
      <c r="E3" s="138"/>
      <c r="F3" s="138"/>
      <c r="G3" s="138"/>
      <c r="H3" s="142"/>
      <c r="I3" s="136"/>
      <c r="J3" s="144"/>
      <c r="L3" s="132"/>
      <c r="M3" s="134"/>
      <c r="N3" s="10">
        <f>AVERAGEIF(O:O,P1,O:O)</f>
        <v>0.1098945781544632</v>
      </c>
    </row>
    <row r="4" spans="2:19">
      <c r="B4" s="32">
        <v>44105</v>
      </c>
      <c r="C4" s="35">
        <v>35079.589999999997</v>
      </c>
      <c r="D4" s="35">
        <v>3817.93</v>
      </c>
      <c r="E4" s="6">
        <v>44144</v>
      </c>
      <c r="F4" s="5">
        <v>35079.589999999997</v>
      </c>
      <c r="G4" s="5"/>
      <c r="H4" s="74">
        <f>IFERROR(IF(DAY(E4)&lt;21,EDATE(E4,-1)-DAY(E4)+1,(EDATE(E4,0)-DAY(E4)+1)),"")</f>
        <v>44105</v>
      </c>
      <c r="I4" s="37">
        <f>IFERROR((D4/C4)*F4,"")</f>
        <v>3817.93</v>
      </c>
      <c r="J4" s="38">
        <f>C4-F4-G4</f>
        <v>0</v>
      </c>
      <c r="K4" s="3"/>
      <c r="L4" s="3"/>
      <c r="M4" s="3"/>
      <c r="N4" s="28"/>
      <c r="O4" s="13">
        <f>IFERROR(+D4/C4,0)</f>
        <v>0.10883622071979747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3817.93</v>
      </c>
    </row>
    <row r="5" spans="2:19">
      <c r="B5" s="32">
        <v>44136</v>
      </c>
      <c r="C5" s="35">
        <v>35079.94</v>
      </c>
      <c r="D5" s="36">
        <v>3597.96</v>
      </c>
      <c r="E5" s="8">
        <v>44174</v>
      </c>
      <c r="F5" s="5">
        <v>35079.94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3597.96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0.10256459959737672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3597.96</v>
      </c>
    </row>
    <row r="6" spans="2:19">
      <c r="B6" s="32">
        <v>44166</v>
      </c>
      <c r="C6" s="35">
        <v>53818.42</v>
      </c>
      <c r="D6" s="36">
        <v>5538.36</v>
      </c>
      <c r="E6" s="8">
        <v>44203</v>
      </c>
      <c r="F6" s="5"/>
      <c r="G6" s="7">
        <f>+C6</f>
        <v>53818.42</v>
      </c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0.10290826077762967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5538.36</v>
      </c>
    </row>
    <row r="7" spans="2:19">
      <c r="B7" s="32">
        <v>44197</v>
      </c>
      <c r="C7" s="35">
        <v>35079.589999999997</v>
      </c>
      <c r="D7" s="36">
        <v>3597.93</v>
      </c>
      <c r="E7" s="8">
        <v>44237</v>
      </c>
      <c r="F7" s="5">
        <v>35079.589999999997</v>
      </c>
      <c r="G7" s="7"/>
      <c r="H7" s="74">
        <f t="shared" si="2"/>
        <v>44197</v>
      </c>
      <c r="I7" s="37">
        <f t="shared" si="3"/>
        <v>3597.93</v>
      </c>
      <c r="J7" s="38">
        <f t="shared" si="4"/>
        <v>0</v>
      </c>
      <c r="K7" s="3"/>
      <c r="L7" s="3"/>
      <c r="M7" s="3"/>
      <c r="N7" s="28"/>
      <c r="O7" s="13">
        <f t="shared" si="5"/>
        <v>0.1025647677182088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3597.93</v>
      </c>
    </row>
    <row r="8" spans="2:19">
      <c r="B8" s="32">
        <v>44228</v>
      </c>
      <c r="C8" s="35">
        <v>38051.879999999997</v>
      </c>
      <c r="D8" s="36">
        <v>3910.8</v>
      </c>
      <c r="E8" s="8">
        <v>44265</v>
      </c>
      <c r="F8" s="5">
        <v>38051.879999999997</v>
      </c>
      <c r="G8" s="7"/>
      <c r="H8" s="74">
        <f t="shared" si="2"/>
        <v>44228</v>
      </c>
      <c r="I8" s="37">
        <f t="shared" si="3"/>
        <v>3910.8</v>
      </c>
      <c r="J8" s="38">
        <f t="shared" si="4"/>
        <v>0</v>
      </c>
      <c r="K8" s="3"/>
      <c r="L8" s="3"/>
      <c r="M8" s="3"/>
      <c r="N8" s="28"/>
      <c r="O8" s="13">
        <f t="shared" si="5"/>
        <v>0.10277547390562571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3910.8</v>
      </c>
    </row>
    <row r="9" spans="2:19">
      <c r="B9" s="32">
        <v>44256</v>
      </c>
      <c r="C9" s="35">
        <v>38257.22</v>
      </c>
      <c r="D9" s="36">
        <v>3932.41</v>
      </c>
      <c r="E9" s="8">
        <v>44295</v>
      </c>
      <c r="F9" s="5">
        <v>38257.22</v>
      </c>
      <c r="G9" s="7"/>
      <c r="H9" s="74">
        <f t="shared" si="2"/>
        <v>44256</v>
      </c>
      <c r="I9" s="37">
        <f t="shared" si="3"/>
        <v>3932.41</v>
      </c>
      <c r="J9" s="38">
        <f t="shared" si="4"/>
        <v>0</v>
      </c>
      <c r="K9" s="3"/>
      <c r="L9" s="3"/>
      <c r="M9" s="3"/>
      <c r="N9" s="28"/>
      <c r="O9" s="13">
        <f t="shared" si="5"/>
        <v>0.10278870236781448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3932.41</v>
      </c>
    </row>
    <row r="10" spans="2:19">
      <c r="B10" s="32">
        <v>44287</v>
      </c>
      <c r="C10" s="35">
        <v>40903.57</v>
      </c>
      <c r="D10" s="36">
        <v>4210.9799999999996</v>
      </c>
      <c r="E10" s="8">
        <v>44326</v>
      </c>
      <c r="F10" s="5">
        <v>40903.57</v>
      </c>
      <c r="G10" s="7"/>
      <c r="H10" s="74">
        <f t="shared" si="2"/>
        <v>44287</v>
      </c>
      <c r="I10" s="37">
        <f t="shared" si="3"/>
        <v>4210.9799999999996</v>
      </c>
      <c r="J10" s="38">
        <f t="shared" si="4"/>
        <v>0</v>
      </c>
      <c r="K10" s="3"/>
      <c r="L10" s="3"/>
      <c r="M10" s="3"/>
      <c r="N10" s="28"/>
      <c r="O10" s="13">
        <f t="shared" si="5"/>
        <v>0.10294896020078442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4210.9799999999996</v>
      </c>
    </row>
    <row r="11" spans="2:19">
      <c r="B11" s="32">
        <v>44317</v>
      </c>
      <c r="C11" s="35">
        <v>40976.160000000003</v>
      </c>
      <c r="D11" s="36">
        <v>4218.62</v>
      </c>
      <c r="E11" s="8">
        <v>44357</v>
      </c>
      <c r="F11" s="5">
        <v>40976.160000000003</v>
      </c>
      <c r="G11" s="7"/>
      <c r="H11" s="74">
        <f t="shared" si="2"/>
        <v>44317</v>
      </c>
      <c r="I11" s="37">
        <f t="shared" si="3"/>
        <v>4218.62</v>
      </c>
      <c r="J11" s="38">
        <f t="shared" si="4"/>
        <v>0</v>
      </c>
      <c r="K11" s="3"/>
      <c r="L11" s="3"/>
      <c r="M11" s="3"/>
      <c r="N11" s="28"/>
      <c r="O11" s="13">
        <f t="shared" si="5"/>
        <v>0.10295303415449372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4218.62</v>
      </c>
    </row>
    <row r="12" spans="2:19">
      <c r="B12" s="32">
        <v>44348</v>
      </c>
      <c r="C12" s="35">
        <v>62364.24</v>
      </c>
      <c r="D12" s="36">
        <v>6437.92</v>
      </c>
      <c r="E12" s="8">
        <v>44389</v>
      </c>
      <c r="F12" s="5">
        <v>62364.24</v>
      </c>
      <c r="G12" s="7"/>
      <c r="H12" s="74">
        <f t="shared" si="2"/>
        <v>44348</v>
      </c>
      <c r="I12" s="37">
        <f t="shared" si="3"/>
        <v>6437.92</v>
      </c>
      <c r="J12" s="38">
        <f t="shared" si="4"/>
        <v>0</v>
      </c>
      <c r="K12" s="3"/>
      <c r="L12" s="3"/>
      <c r="M12" s="3"/>
      <c r="N12" s="28"/>
      <c r="O12" s="13">
        <f t="shared" si="5"/>
        <v>0.10323095414936509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6437.92</v>
      </c>
    </row>
    <row r="13" spans="2:19">
      <c r="B13" s="32">
        <v>44378</v>
      </c>
      <c r="C13" s="35">
        <v>50470.400000000001</v>
      </c>
      <c r="D13" s="36">
        <v>8518.01</v>
      </c>
      <c r="E13" s="8">
        <v>44421</v>
      </c>
      <c r="F13" s="5">
        <v>50470.400000000001</v>
      </c>
      <c r="G13" s="7"/>
      <c r="H13" s="74">
        <f t="shared" si="2"/>
        <v>44378</v>
      </c>
      <c r="I13" s="37">
        <f t="shared" si="3"/>
        <v>8518.01</v>
      </c>
      <c r="J13" s="38">
        <f t="shared" si="4"/>
        <v>0</v>
      </c>
      <c r="K13" s="3"/>
      <c r="L13" s="3"/>
      <c r="M13" s="3"/>
      <c r="N13" s="28"/>
      <c r="O13" s="13">
        <f t="shared" si="5"/>
        <v>0.16877238936089273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8518.01</v>
      </c>
    </row>
    <row r="14" spans="2:19">
      <c r="B14" s="32">
        <v>44409</v>
      </c>
      <c r="C14" s="35">
        <v>50470.400000000001</v>
      </c>
      <c r="D14" s="36">
        <v>8518.01</v>
      </c>
      <c r="E14" s="8">
        <v>44448</v>
      </c>
      <c r="F14" s="5">
        <v>50470.400000000001</v>
      </c>
      <c r="G14" s="7"/>
      <c r="H14" s="74">
        <f t="shared" si="2"/>
        <v>44409</v>
      </c>
      <c r="I14" s="37">
        <f t="shared" si="3"/>
        <v>8518.01</v>
      </c>
      <c r="J14" s="38">
        <f t="shared" si="4"/>
        <v>0</v>
      </c>
      <c r="K14" s="3"/>
      <c r="L14" s="3"/>
      <c r="M14" s="3"/>
      <c r="N14" s="28"/>
      <c r="O14" s="13">
        <f t="shared" si="5"/>
        <v>0.16877238936089273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8518.01</v>
      </c>
    </row>
    <row r="15" spans="2:19">
      <c r="B15" s="32">
        <v>44440</v>
      </c>
      <c r="C15" s="35">
        <v>50470.400000000001</v>
      </c>
      <c r="D15" s="36">
        <v>8518.01</v>
      </c>
      <c r="E15" s="8">
        <v>44483</v>
      </c>
      <c r="F15" s="5">
        <v>50470.400000000001</v>
      </c>
      <c r="G15" s="7"/>
      <c r="H15" s="74">
        <f t="shared" si="2"/>
        <v>44440</v>
      </c>
      <c r="I15" s="37">
        <f t="shared" si="3"/>
        <v>8518.01</v>
      </c>
      <c r="J15" s="38">
        <f t="shared" si="4"/>
        <v>0</v>
      </c>
      <c r="K15" s="3"/>
      <c r="L15" s="3"/>
      <c r="M15" s="3"/>
      <c r="N15" s="28"/>
      <c r="O15" s="13">
        <f t="shared" si="5"/>
        <v>0.16877238936089273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8518.01</v>
      </c>
    </row>
    <row r="16" spans="2:19">
      <c r="B16" s="32">
        <v>44470</v>
      </c>
      <c r="C16" s="35">
        <v>50470.400000000001</v>
      </c>
      <c r="D16" s="36">
        <v>5218.01</v>
      </c>
      <c r="E16" s="8">
        <v>44511</v>
      </c>
      <c r="F16" s="5">
        <v>50470.400000000001</v>
      </c>
      <c r="G16" s="7"/>
      <c r="H16" s="74">
        <f t="shared" si="2"/>
        <v>44470</v>
      </c>
      <c r="I16" s="37">
        <f t="shared" si="3"/>
        <v>5218.01</v>
      </c>
      <c r="J16" s="38">
        <f t="shared" si="4"/>
        <v>0</v>
      </c>
      <c r="K16" s="3"/>
      <c r="L16" s="3"/>
      <c r="M16" s="3"/>
      <c r="N16" s="28"/>
      <c r="O16" s="13">
        <f t="shared" si="5"/>
        <v>0.10338753011666243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5218.01</v>
      </c>
    </row>
    <row r="17" spans="2:19">
      <c r="B17" s="32">
        <v>44501</v>
      </c>
      <c r="C17" s="35">
        <v>56309.21</v>
      </c>
      <c r="D17" s="36">
        <v>5832.62</v>
      </c>
      <c r="E17" s="8">
        <v>44552</v>
      </c>
      <c r="F17" s="5">
        <v>56309.21</v>
      </c>
      <c r="G17" s="7"/>
      <c r="H17" s="74">
        <f t="shared" si="2"/>
        <v>44531</v>
      </c>
      <c r="I17" s="37">
        <f t="shared" si="3"/>
        <v>5832.62</v>
      </c>
      <c r="J17" s="38">
        <f t="shared" si="4"/>
        <v>0</v>
      </c>
      <c r="K17" s="3"/>
      <c r="L17" s="3"/>
      <c r="M17" s="3"/>
      <c r="N17" s="28"/>
      <c r="O17" s="13">
        <f t="shared" si="5"/>
        <v>0.10358198951823334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5832.62</v>
      </c>
    </row>
    <row r="18" spans="2:19">
      <c r="B18" s="32">
        <v>44531</v>
      </c>
      <c r="C18" s="35">
        <v>85665.31</v>
      </c>
      <c r="D18" s="36">
        <v>8890.66</v>
      </c>
      <c r="E18" s="8">
        <v>44572</v>
      </c>
      <c r="F18" s="5">
        <v>85665.31</v>
      </c>
      <c r="G18" s="7"/>
      <c r="H18" s="74">
        <f t="shared" si="2"/>
        <v>44531</v>
      </c>
      <c r="I18" s="37">
        <f t="shared" si="3"/>
        <v>8890.66</v>
      </c>
      <c r="J18" s="38">
        <f t="shared" si="4"/>
        <v>0</v>
      </c>
      <c r="K18" s="3"/>
      <c r="L18" s="3"/>
      <c r="M18" s="3"/>
      <c r="N18" s="28"/>
      <c r="O18" s="13">
        <f t="shared" si="5"/>
        <v>0.10378366692421938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8890.66</v>
      </c>
    </row>
    <row r="19" spans="2:19">
      <c r="B19" s="32">
        <v>44562</v>
      </c>
      <c r="C19" s="35">
        <v>56309.21</v>
      </c>
      <c r="D19" s="36">
        <v>5832.62</v>
      </c>
      <c r="E19" s="8">
        <v>44602</v>
      </c>
      <c r="F19" s="5">
        <v>56309.21</v>
      </c>
      <c r="G19" s="7"/>
      <c r="H19" s="74">
        <f t="shared" si="2"/>
        <v>44562</v>
      </c>
      <c r="I19" s="37">
        <f t="shared" si="3"/>
        <v>5832.62</v>
      </c>
      <c r="J19" s="38">
        <f t="shared" si="4"/>
        <v>0</v>
      </c>
      <c r="K19" s="3"/>
      <c r="L19" s="3"/>
      <c r="M19" s="3"/>
      <c r="N19" s="28"/>
      <c r="O19" s="13">
        <f t="shared" si="5"/>
        <v>0.10358198951823334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5832.62</v>
      </c>
    </row>
    <row r="20" spans="2:19">
      <c r="B20" s="32">
        <v>44593</v>
      </c>
      <c r="C20" s="35">
        <v>56510.8</v>
      </c>
      <c r="D20" s="36">
        <v>5853.84</v>
      </c>
      <c r="E20" s="8">
        <v>44630</v>
      </c>
      <c r="F20" s="5">
        <v>56510.8</v>
      </c>
      <c r="G20" s="7"/>
      <c r="H20" s="74">
        <f t="shared" si="2"/>
        <v>44593</v>
      </c>
      <c r="I20" s="37">
        <f t="shared" si="3"/>
        <v>5853.84</v>
      </c>
      <c r="J20" s="38">
        <f t="shared" si="4"/>
        <v>0</v>
      </c>
      <c r="K20" s="3"/>
      <c r="L20" s="3"/>
      <c r="M20" s="3"/>
      <c r="N20" s="28"/>
      <c r="O20" s="13">
        <f t="shared" si="5"/>
        <v>0.10358798672112234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5853.84</v>
      </c>
    </row>
    <row r="21" spans="2:19">
      <c r="B21" s="32">
        <v>44621</v>
      </c>
      <c r="C21" s="35">
        <v>62368.62</v>
      </c>
      <c r="D21" s="36">
        <v>6470.45</v>
      </c>
      <c r="E21" s="8">
        <v>44664</v>
      </c>
      <c r="F21" s="5">
        <v>62368.62</v>
      </c>
      <c r="G21" s="7"/>
      <c r="H21" s="74">
        <f t="shared" si="2"/>
        <v>44621</v>
      </c>
      <c r="I21" s="37">
        <f t="shared" si="3"/>
        <v>6470.45</v>
      </c>
      <c r="J21" s="38">
        <f t="shared" si="4"/>
        <v>0</v>
      </c>
      <c r="K21" s="3"/>
      <c r="L21" s="3"/>
      <c r="M21" s="3"/>
      <c r="N21" s="28"/>
      <c r="O21" s="13">
        <f t="shared" si="5"/>
        <v>0.10374528088003229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6470.45</v>
      </c>
    </row>
    <row r="22" spans="2:19">
      <c r="B22" s="32">
        <v>44652</v>
      </c>
      <c r="C22" s="35">
        <v>62589.24</v>
      </c>
      <c r="D22" s="36">
        <v>6493.67</v>
      </c>
      <c r="E22" s="8">
        <v>44694</v>
      </c>
      <c r="F22" s="5">
        <v>62589.24</v>
      </c>
      <c r="G22" s="7"/>
      <c r="H22" s="74">
        <f t="shared" si="2"/>
        <v>44652</v>
      </c>
      <c r="I22" s="37">
        <f t="shared" si="3"/>
        <v>6493.67</v>
      </c>
      <c r="J22" s="38">
        <f t="shared" si="4"/>
        <v>0</v>
      </c>
      <c r="K22" s="3"/>
      <c r="L22" s="3"/>
      <c r="M22" s="3"/>
      <c r="N22" s="28"/>
      <c r="O22" s="13">
        <f t="shared" si="5"/>
        <v>0.10375058077075229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6493.67</v>
      </c>
    </row>
    <row r="23" spans="2:19">
      <c r="B23" s="32">
        <v>44682</v>
      </c>
      <c r="C23" s="35">
        <v>72814.89</v>
      </c>
      <c r="D23" s="36">
        <v>7570.06</v>
      </c>
      <c r="E23" s="8">
        <v>44726</v>
      </c>
      <c r="F23" s="5">
        <v>72814.89</v>
      </c>
      <c r="G23" s="7"/>
      <c r="H23" s="74">
        <f t="shared" si="2"/>
        <v>44682</v>
      </c>
      <c r="I23" s="37">
        <f t="shared" si="3"/>
        <v>7570.06</v>
      </c>
      <c r="J23" s="38">
        <f t="shared" si="4"/>
        <v>0</v>
      </c>
      <c r="K23" s="3"/>
      <c r="L23" s="3"/>
      <c r="M23" s="3"/>
      <c r="N23" s="28"/>
      <c r="O23" s="13">
        <f t="shared" si="5"/>
        <v>0.10396307678278441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7570.06</v>
      </c>
    </row>
    <row r="24" spans="2:19">
      <c r="B24" s="32">
        <v>44713</v>
      </c>
      <c r="C24" s="35">
        <v>110122.38</v>
      </c>
      <c r="D24" s="36">
        <v>11465.09</v>
      </c>
      <c r="E24" s="8">
        <v>44754</v>
      </c>
      <c r="F24" s="5">
        <v>110122.38</v>
      </c>
      <c r="G24" s="7"/>
      <c r="H24" s="74">
        <f t="shared" si="2"/>
        <v>44713</v>
      </c>
      <c r="I24" s="37">
        <f t="shared" si="3"/>
        <v>11465.09</v>
      </c>
      <c r="J24" s="38">
        <f t="shared" si="4"/>
        <v>0</v>
      </c>
      <c r="K24" s="3"/>
      <c r="L24" s="3"/>
      <c r="M24" s="3"/>
      <c r="N24" s="28"/>
      <c r="O24" s="13">
        <f t="shared" si="5"/>
        <v>0.10411226128603468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11465.09</v>
      </c>
    </row>
    <row r="25" spans="2:19">
      <c r="B25" s="32">
        <v>44743</v>
      </c>
      <c r="C25" s="35">
        <v>73068.61</v>
      </c>
      <c r="D25" s="36">
        <v>7596.7684496000002</v>
      </c>
      <c r="E25" s="8">
        <v>44783</v>
      </c>
      <c r="F25" s="5">
        <v>73068.61</v>
      </c>
      <c r="G25" s="7"/>
      <c r="H25" s="74">
        <f t="shared" si="2"/>
        <v>44743</v>
      </c>
      <c r="I25" s="37">
        <f t="shared" si="3"/>
        <v>7596.7684496000002</v>
      </c>
      <c r="J25" s="38">
        <f t="shared" si="4"/>
        <v>0</v>
      </c>
      <c r="K25" s="3"/>
      <c r="L25" s="3"/>
      <c r="M25" s="3"/>
      <c r="N25" s="28"/>
      <c r="O25" s="13">
        <f t="shared" si="5"/>
        <v>0.10396760591997029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7596.7684496000002</v>
      </c>
    </row>
    <row r="26" spans="2:19">
      <c r="B26" s="32">
        <v>44774</v>
      </c>
      <c r="C26" s="35">
        <v>73068.61</v>
      </c>
      <c r="D26" s="36">
        <v>7596.7684496000002</v>
      </c>
      <c r="E26" s="8">
        <v>44817</v>
      </c>
      <c r="F26" s="5">
        <v>73068.61</v>
      </c>
      <c r="G26" s="7"/>
      <c r="H26" s="74">
        <f t="shared" si="2"/>
        <v>44774</v>
      </c>
      <c r="I26" s="37">
        <f t="shared" si="3"/>
        <v>7596.7684496000002</v>
      </c>
      <c r="J26" s="38">
        <f t="shared" si="4"/>
        <v>0</v>
      </c>
      <c r="K26" s="3"/>
      <c r="L26" s="3"/>
      <c r="M26" s="3"/>
      <c r="N26" s="28"/>
      <c r="O26" s="13">
        <f t="shared" si="5"/>
        <v>0.10396760591997029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7596.7684496000002</v>
      </c>
    </row>
    <row r="27" spans="2:19">
      <c r="B27" s="32">
        <v>44805</v>
      </c>
      <c r="C27" s="35">
        <v>91576.72</v>
      </c>
      <c r="D27" s="36">
        <v>9544.9883562000014</v>
      </c>
      <c r="E27" s="8">
        <v>44847</v>
      </c>
      <c r="F27" s="5">
        <v>91576.72</v>
      </c>
      <c r="G27" s="7"/>
      <c r="H27" s="74">
        <f t="shared" si="2"/>
        <v>44805</v>
      </c>
      <c r="I27" s="37">
        <f t="shared" si="3"/>
        <v>9544.9883562000014</v>
      </c>
      <c r="J27" s="38">
        <f t="shared" si="4"/>
        <v>0</v>
      </c>
      <c r="K27" s="3"/>
      <c r="L27" s="3"/>
      <c r="M27" s="3"/>
      <c r="N27" s="28"/>
      <c r="O27" s="13">
        <f t="shared" si="5"/>
        <v>0.10422941940047646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9544.9883562000014</v>
      </c>
    </row>
    <row r="28" spans="2:19">
      <c r="B28" s="32">
        <v>44835</v>
      </c>
      <c r="C28" s="35">
        <v>55503.91</v>
      </c>
      <c r="D28" s="36">
        <v>5769.2295511399998</v>
      </c>
      <c r="E28" s="8">
        <v>44875</v>
      </c>
      <c r="F28" s="5">
        <v>55503.91</v>
      </c>
      <c r="G28" s="7"/>
      <c r="H28" s="74">
        <f t="shared" si="2"/>
        <v>44835</v>
      </c>
      <c r="I28" s="37">
        <f t="shared" si="3"/>
        <v>5769.2295511399998</v>
      </c>
      <c r="J28" s="38">
        <f t="shared" si="4"/>
        <v>0</v>
      </c>
      <c r="K28" s="31"/>
      <c r="L28" s="3"/>
      <c r="M28" s="3"/>
      <c r="N28" s="28"/>
      <c r="O28" s="13">
        <f t="shared" si="5"/>
        <v>0.10394275918831664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5769.2295511399998</v>
      </c>
    </row>
    <row r="29" spans="2:19">
      <c r="B29" s="32">
        <v>44866</v>
      </c>
      <c r="C29" s="35">
        <v>71656.72</v>
      </c>
      <c r="D29" s="36">
        <v>7469.5272489200033</v>
      </c>
      <c r="E29" s="8">
        <v>44908</v>
      </c>
      <c r="F29" s="5">
        <v>71656.72</v>
      </c>
      <c r="G29" s="7"/>
      <c r="H29" s="74">
        <f t="shared" si="2"/>
        <v>44866</v>
      </c>
      <c r="I29" s="37">
        <f t="shared" si="3"/>
        <v>7469.5272489200033</v>
      </c>
      <c r="J29" s="38">
        <f t="shared" si="4"/>
        <v>0</v>
      </c>
      <c r="N29" s="2"/>
      <c r="O29" s="13">
        <f t="shared" ref="O29:O42" si="8">IFERROR(+D29/C29,0)</f>
        <v>0.10424042921473385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7469.5272489200033</v>
      </c>
    </row>
    <row r="30" spans="2:19">
      <c r="B30" s="32">
        <v>44896</v>
      </c>
      <c r="C30" s="35">
        <v>111716.33</v>
      </c>
      <c r="D30" s="36">
        <v>11664.951285377501</v>
      </c>
      <c r="E30" s="8">
        <v>44936</v>
      </c>
      <c r="F30" s="5">
        <v>111716.33</v>
      </c>
      <c r="G30" s="7"/>
      <c r="H30" s="74">
        <f t="shared" si="2"/>
        <v>44896</v>
      </c>
      <c r="I30" s="37">
        <f t="shared" si="3"/>
        <v>11664.951285377501</v>
      </c>
      <c r="J30" s="38">
        <f t="shared" si="4"/>
        <v>0</v>
      </c>
      <c r="N30" s="2"/>
      <c r="O30" s="13">
        <f t="shared" si="8"/>
        <v>0.10441581177413814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11664.951285377501</v>
      </c>
    </row>
    <row r="31" spans="2:19">
      <c r="B31" s="32">
        <v>44927</v>
      </c>
      <c r="C31" s="35">
        <v>39831.230000000003</v>
      </c>
      <c r="D31" s="36">
        <v>4138.7163820145006</v>
      </c>
      <c r="E31" s="8">
        <v>44967</v>
      </c>
      <c r="F31" s="5">
        <v>39831.230000000003</v>
      </c>
      <c r="G31" s="7"/>
      <c r="H31" s="74">
        <f t="shared" si="2"/>
        <v>44927</v>
      </c>
      <c r="I31" s="37">
        <f t="shared" si="3"/>
        <v>4138.7163820145006</v>
      </c>
      <c r="J31" s="38">
        <f t="shared" si="4"/>
        <v>0</v>
      </c>
      <c r="N31" s="2"/>
      <c r="O31" s="13">
        <f t="shared" si="8"/>
        <v>0.1039063162753071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4138.7163820145006</v>
      </c>
    </row>
    <row r="32" spans="2:19">
      <c r="B32" s="32">
        <v>44958</v>
      </c>
      <c r="C32" s="35">
        <v>73134.460000000006</v>
      </c>
      <c r="D32" s="36">
        <v>7625.0773570400024</v>
      </c>
      <c r="E32" s="8">
        <v>45001</v>
      </c>
      <c r="F32" s="5">
        <v>73134.460000000006</v>
      </c>
      <c r="G32" s="7"/>
      <c r="H32" s="74">
        <f t="shared" si="2"/>
        <v>44958</v>
      </c>
      <c r="I32" s="37">
        <f t="shared" si="3"/>
        <v>7625.0773570400024</v>
      </c>
      <c r="J32" s="38">
        <f t="shared" si="4"/>
        <v>0</v>
      </c>
      <c r="N32" s="2"/>
      <c r="O32" s="13">
        <f t="shared" si="8"/>
        <v>0.10426107415081758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7625.0773570400024</v>
      </c>
    </row>
    <row r="33" spans="2:19">
      <c r="B33" s="32">
        <v>44986</v>
      </c>
      <c r="C33" s="35">
        <v>73134.460000000006</v>
      </c>
      <c r="D33" s="36">
        <v>7625.0773570400024</v>
      </c>
      <c r="E33" s="8">
        <v>45044</v>
      </c>
      <c r="F33" s="5">
        <v>73134.460000000006</v>
      </c>
      <c r="G33" s="7"/>
      <c r="H33" s="74">
        <f t="shared" si="2"/>
        <v>45017</v>
      </c>
      <c r="I33" s="37">
        <f t="shared" si="3"/>
        <v>7625.0773570400024</v>
      </c>
      <c r="J33" s="38">
        <f t="shared" si="4"/>
        <v>0</v>
      </c>
      <c r="N33" s="2"/>
      <c r="O33" s="13">
        <f t="shared" si="8"/>
        <v>0.10426107415081758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7625.0773570400024</v>
      </c>
    </row>
    <row r="34" spans="2:19">
      <c r="B34" s="32">
        <v>45017</v>
      </c>
      <c r="C34" s="35">
        <v>41626.410000000003</v>
      </c>
      <c r="D34" s="36">
        <v>4326.2582151800016</v>
      </c>
      <c r="E34" s="8">
        <v>45069</v>
      </c>
      <c r="F34" s="5">
        <v>41626.410000000003</v>
      </c>
      <c r="G34" s="7"/>
      <c r="H34" s="74">
        <f t="shared" si="2"/>
        <v>45047</v>
      </c>
      <c r="I34" s="37">
        <f t="shared" si="3"/>
        <v>4326.2582151800016</v>
      </c>
      <c r="J34" s="38">
        <f t="shared" si="4"/>
        <v>0</v>
      </c>
      <c r="N34" s="2"/>
      <c r="O34" s="13">
        <f t="shared" si="8"/>
        <v>0.10393061076321501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4326.2582151800016</v>
      </c>
    </row>
    <row r="35" spans="2:19">
      <c r="B35" s="32">
        <v>45047</v>
      </c>
      <c r="C35" s="35">
        <v>55441.53</v>
      </c>
      <c r="D35" s="36">
        <v>5772.6436227973345</v>
      </c>
      <c r="E35" s="8"/>
      <c r="F35" s="5"/>
      <c r="G35" s="7"/>
      <c r="H35" s="74" t="str">
        <f t="shared" si="2"/>
        <v/>
      </c>
      <c r="I35" s="37">
        <f t="shared" si="3"/>
        <v>0</v>
      </c>
      <c r="J35" s="38">
        <f t="shared" si="4"/>
        <v>55441.53</v>
      </c>
      <c r="N35" s="2"/>
      <c r="O35" s="13">
        <f t="shared" si="8"/>
        <v>0.10412128999321149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5772.6436227973345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G59" sqref="G59"/>
    </sheetView>
  </sheetViews>
  <sheetFormatPr baseColWidth="10" defaultRowHeight="15"/>
  <cols>
    <col min="1" max="1" width="37.28515625" style="3" bestFit="1" customWidth="1"/>
    <col min="2" max="2" width="19.710937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5" t="s">
        <v>75</v>
      </c>
      <c r="C6" s="155"/>
      <c r="D6" s="155"/>
      <c r="E6" s="155"/>
      <c r="G6" s="59">
        <f>IF(A6="Plan",SUMIF('Control de pagos'!B:B,Descripción!B6,'Control de pagos'!D:D),"")</f>
        <v>131492.22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131492.22</v>
      </c>
    </row>
    <row r="7" spans="1:11" ht="15.75" thickBot="1">
      <c r="A7" s="46" t="s">
        <v>57</v>
      </c>
      <c r="B7" s="47">
        <v>44203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6.5" customHeight="1" thickBot="1">
      <c r="A8" s="75" t="s">
        <v>45</v>
      </c>
      <c r="B8" s="75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75" t="s">
        <v>46</v>
      </c>
      <c r="B9" s="75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ht="24.75" customHeight="1" thickBot="1">
      <c r="A10" s="75" t="s">
        <v>47</v>
      </c>
      <c r="B10" s="75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45" t="s">
        <v>48</v>
      </c>
      <c r="B12" s="145" t="s">
        <v>49</v>
      </c>
      <c r="C12" s="145" t="s">
        <v>50</v>
      </c>
      <c r="D12" s="147" t="s">
        <v>51</v>
      </c>
      <c r="E12" s="148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46"/>
      <c r="B13" s="146"/>
      <c r="C13" s="146"/>
      <c r="D13" s="75" t="s">
        <v>52</v>
      </c>
      <c r="E13" s="75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6" t="s">
        <v>53</v>
      </c>
      <c r="B14" s="77">
        <v>0</v>
      </c>
      <c r="C14" s="149">
        <v>8</v>
      </c>
      <c r="D14" s="152">
        <v>2.9000000000000001E-2</v>
      </c>
      <c r="E14" s="1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6" t="s">
        <v>54</v>
      </c>
      <c r="B15" s="77">
        <v>131492.22</v>
      </c>
      <c r="C15" s="150"/>
      <c r="D15" s="153"/>
      <c r="E15" s="153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6" t="s">
        <v>55</v>
      </c>
      <c r="B16" s="77">
        <v>0</v>
      </c>
      <c r="C16" s="150"/>
      <c r="D16" s="153"/>
      <c r="E16" s="153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6" t="s">
        <v>56</v>
      </c>
      <c r="B17" s="78">
        <v>131492.22</v>
      </c>
      <c r="C17" s="150"/>
      <c r="D17" s="153"/>
      <c r="E17" s="153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9"/>
      <c r="B18" s="80"/>
      <c r="C18" s="151"/>
      <c r="D18" s="154"/>
      <c r="E18" s="154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5" t="s">
        <v>91</v>
      </c>
      <c r="C19" s="155"/>
      <c r="D19" s="155"/>
      <c r="E19" s="155"/>
      <c r="G19" s="59">
        <f>IF(A19="Plan",SUMIF('Control de pagos'!B:B,Descripción!B19,'Control de pagos'!D:D),"")</f>
        <v>276187.33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276187.33</v>
      </c>
    </row>
    <row r="20" spans="1:9">
      <c r="A20" s="46" t="s">
        <v>57</v>
      </c>
      <c r="B20" s="47">
        <v>44607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105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105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105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15.75" thickBot="1">
      <c r="A25" s="145" t="s">
        <v>48</v>
      </c>
      <c r="B25" s="145" t="s">
        <v>49</v>
      </c>
      <c r="C25" s="145" t="s">
        <v>50</v>
      </c>
      <c r="D25" s="147" t="s">
        <v>51</v>
      </c>
      <c r="E25" s="148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46"/>
      <c r="B26" s="146"/>
      <c r="C26" s="146"/>
      <c r="D26" s="75" t="s">
        <v>52</v>
      </c>
      <c r="E26" s="75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6" t="s">
        <v>53</v>
      </c>
      <c r="B27" s="106">
        <v>276187.33</v>
      </c>
      <c r="C27" s="149">
        <v>4</v>
      </c>
      <c r="D27" s="152">
        <v>3.1800000000000002E-2</v>
      </c>
      <c r="E27" s="1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6" t="s">
        <v>54</v>
      </c>
      <c r="B28" s="106">
        <v>0</v>
      </c>
      <c r="C28" s="150"/>
      <c r="D28" s="153"/>
      <c r="E28" s="153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6" t="s">
        <v>55</v>
      </c>
      <c r="B29" s="106">
        <v>0</v>
      </c>
      <c r="C29" s="150"/>
      <c r="D29" s="153"/>
      <c r="E29" s="153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6" t="s">
        <v>56</v>
      </c>
      <c r="B30" s="107">
        <v>276187.33</v>
      </c>
      <c r="C30" s="150"/>
      <c r="D30" s="153"/>
      <c r="E30" s="153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9"/>
      <c r="B31" s="80"/>
      <c r="C31" s="151"/>
      <c r="D31" s="154"/>
      <c r="E31" s="154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5" t="s">
        <v>97</v>
      </c>
      <c r="C32" s="155"/>
      <c r="D32" s="155"/>
      <c r="E32" s="155"/>
      <c r="G32" s="59">
        <f>IF(A32="Plan",SUMIF('Control de pagos'!B:B,Descripción!B32,'Control de pagos'!D:D),"")</f>
        <v>57243.280000000006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57243.280000000006</v>
      </c>
    </row>
    <row r="33" spans="1:9">
      <c r="A33" s="46" t="s">
        <v>57</v>
      </c>
      <c r="B33" s="47">
        <v>44803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15.75" thickBot="1">
      <c r="A38" s="145" t="s">
        <v>48</v>
      </c>
      <c r="B38" s="145" t="s">
        <v>49</v>
      </c>
      <c r="C38" s="145" t="s">
        <v>50</v>
      </c>
      <c r="D38" s="147" t="s">
        <v>51</v>
      </c>
      <c r="E38" s="148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46"/>
      <c r="B39" s="146"/>
      <c r="C39" s="146"/>
      <c r="D39" s="75" t="s">
        <v>52</v>
      </c>
      <c r="E39" s="75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6" t="s">
        <v>53</v>
      </c>
      <c r="B40" s="94" t="s">
        <v>99</v>
      </c>
      <c r="C40" s="149">
        <v>4</v>
      </c>
      <c r="D40" s="152">
        <v>4.0099999999999997E-2</v>
      </c>
      <c r="E40" s="1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6" t="s">
        <v>54</v>
      </c>
      <c r="B41" s="94" t="s">
        <v>100</v>
      </c>
      <c r="C41" s="150"/>
      <c r="D41" s="153"/>
      <c r="E41" s="153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6" t="s">
        <v>55</v>
      </c>
      <c r="B42" s="94" t="s">
        <v>100</v>
      </c>
      <c r="C42" s="150"/>
      <c r="D42" s="153"/>
      <c r="E42" s="153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6" t="s">
        <v>56</v>
      </c>
      <c r="B43" s="120" t="s">
        <v>99</v>
      </c>
      <c r="C43" s="150"/>
      <c r="D43" s="153"/>
      <c r="E43" s="153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9"/>
      <c r="B44" s="80"/>
      <c r="C44" s="151"/>
      <c r="D44" s="154"/>
      <c r="E44" s="154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5" t="s">
        <v>101</v>
      </c>
      <c r="C45" s="155"/>
      <c r="D45" s="155"/>
      <c r="E45" s="155"/>
      <c r="G45" s="59">
        <f>IF(A45="Plan",SUMIF('Control de pagos'!B:B,Descripción!B45,'Control de pagos'!D:D),"")</f>
        <v>85520.01999999999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85520.01999999999</v>
      </c>
    </row>
    <row r="46" spans="1:9">
      <c r="A46" s="46" t="s">
        <v>57</v>
      </c>
      <c r="B46" s="47">
        <v>44981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124" t="s">
        <v>48</v>
      </c>
      <c r="B51" s="124" t="s">
        <v>49</v>
      </c>
      <c r="C51" s="124" t="s">
        <v>50</v>
      </c>
      <c r="D51" s="128" t="s">
        <v>51</v>
      </c>
      <c r="E51" s="129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127"/>
      <c r="B52" s="127"/>
      <c r="C52" s="127"/>
      <c r="D52" s="50" t="s">
        <v>52</v>
      </c>
      <c r="E52" s="50" t="s">
        <v>79</v>
      </c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85520.02</v>
      </c>
      <c r="C53" s="124">
        <v>2</v>
      </c>
      <c r="D53" s="126">
        <v>5.3100000000000001E-2</v>
      </c>
      <c r="E53" s="126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125"/>
      <c r="D54" s="125"/>
      <c r="E54" s="125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125"/>
      <c r="D55" s="125"/>
      <c r="E55" s="125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85520.02</v>
      </c>
      <c r="C56" s="125"/>
      <c r="D56" s="125"/>
      <c r="E56" s="125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5"/>
      <c r="C58" s="155"/>
      <c r="D58" s="155"/>
      <c r="E58" s="15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5"/>
      <c r="C71" s="155"/>
      <c r="D71" s="155"/>
      <c r="E71" s="15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5"/>
      <c r="C84" s="155"/>
      <c r="D84" s="155"/>
      <c r="E84" s="15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5"/>
      <c r="C97" s="155"/>
      <c r="D97" s="155"/>
      <c r="E97" s="15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5"/>
      <c r="C110" s="155"/>
      <c r="D110" s="155"/>
      <c r="E110" s="15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5"/>
      <c r="C123" s="155"/>
      <c r="D123" s="155"/>
      <c r="E123" s="15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5"/>
      <c r="C136" s="155"/>
      <c r="D136" s="155"/>
      <c r="E136" s="15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5"/>
      <c r="C149" s="155"/>
      <c r="D149" s="155"/>
      <c r="E149" s="15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28" activePane="bottomLeft" state="frozen"/>
      <selection pane="bottomLeft" activeCell="N43" sqref="N43:N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56" t="s">
        <v>12</v>
      </c>
      <c r="C1" s="156"/>
      <c r="D1" s="156"/>
      <c r="E1" s="156"/>
      <c r="F1" s="156"/>
      <c r="G1" s="156"/>
      <c r="H1" s="156"/>
      <c r="I1" s="156"/>
      <c r="J1" s="156"/>
      <c r="K1" s="156"/>
      <c r="O1" s="157" t="s">
        <v>17</v>
      </c>
      <c r="P1" s="157"/>
      <c r="Q1" s="157"/>
      <c r="R1" s="157"/>
      <c r="S1" s="157"/>
      <c r="T1" s="157"/>
      <c r="U1" s="15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O565275</v>
      </c>
      <c r="B4" s="81" t="s">
        <v>80</v>
      </c>
      <c r="C4"/>
      <c r="D4"/>
      <c r="E4"/>
      <c r="F4"/>
      <c r="G4"/>
      <c r="H4"/>
      <c r="I4"/>
      <c r="J4"/>
      <c r="K4"/>
      <c r="N4" s="3" t="str">
        <f>+A4</f>
        <v>O565275</v>
      </c>
      <c r="O4" s="81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2" t="s">
        <v>0</v>
      </c>
      <c r="C5" s="92" t="s">
        <v>1</v>
      </c>
      <c r="D5" s="92" t="s">
        <v>2</v>
      </c>
      <c r="E5" s="92" t="s">
        <v>3</v>
      </c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N5" s="3" t="s">
        <v>75</v>
      </c>
      <c r="O5" s="92" t="s">
        <v>13</v>
      </c>
      <c r="P5" s="92" t="s">
        <v>14</v>
      </c>
      <c r="Q5" s="92" t="s">
        <v>3</v>
      </c>
      <c r="R5" s="92" t="s">
        <v>4</v>
      </c>
      <c r="S5" s="92" t="s">
        <v>5</v>
      </c>
      <c r="T5" s="92" t="s">
        <v>15</v>
      </c>
      <c r="U5" s="9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2020</v>
      </c>
      <c r="C6" s="82">
        <v>8</v>
      </c>
      <c r="D6" s="82"/>
      <c r="E6" s="83" t="s">
        <v>11</v>
      </c>
      <c r="F6" s="83" t="s">
        <v>81</v>
      </c>
      <c r="G6" s="83" t="s">
        <v>10</v>
      </c>
      <c r="H6" s="84">
        <v>44152</v>
      </c>
      <c r="I6" s="85">
        <v>16338.06</v>
      </c>
      <c r="J6" s="86">
        <v>0</v>
      </c>
      <c r="K6" s="85">
        <v>16338.06</v>
      </c>
      <c r="N6" s="3" t="s">
        <v>75</v>
      </c>
      <c r="O6" s="82">
        <v>1</v>
      </c>
      <c r="P6" s="85">
        <v>10057.290000000001</v>
      </c>
      <c r="Q6" s="83" t="s">
        <v>11</v>
      </c>
      <c r="R6" s="83" t="s">
        <v>83</v>
      </c>
      <c r="S6" s="83" t="s">
        <v>10</v>
      </c>
      <c r="T6" s="82" t="s">
        <v>85</v>
      </c>
      <c r="U6" s="82" t="s">
        <v>86</v>
      </c>
      <c r="AC6" s="11" t="str">
        <f t="shared" si="0"/>
        <v>O565275</v>
      </c>
      <c r="AD6" s="11" t="str">
        <f t="shared" si="1"/>
        <v>Contribuciones Seg. Social</v>
      </c>
      <c r="AE6" s="11" t="str">
        <f t="shared" si="2"/>
        <v>Dj Seg. Soc. Sipa Dto. 332</v>
      </c>
      <c r="AF6" s="11" t="str">
        <f t="shared" si="3"/>
        <v>Declaración Jurada</v>
      </c>
      <c r="AG6" s="11">
        <f t="shared" si="4"/>
        <v>16338.06</v>
      </c>
      <c r="AH6" s="11">
        <f t="shared" si="5"/>
        <v>0</v>
      </c>
      <c r="AI6" s="11">
        <f t="shared" si="6"/>
        <v>16338.06</v>
      </c>
      <c r="AJ6" s="11">
        <f t="shared" si="7"/>
        <v>2020</v>
      </c>
      <c r="AK6" s="11">
        <f t="shared" si="8"/>
        <v>8</v>
      </c>
      <c r="AN6" s="11" t="str">
        <f t="shared" si="13"/>
        <v xml:space="preserve">2020/8 </v>
      </c>
      <c r="AO6" s="11" t="str">
        <f t="shared" si="14"/>
        <v>2020/8 Contribuciones Seg. Social</v>
      </c>
      <c r="AP6" s="11">
        <f t="shared" si="15"/>
        <v>16338.06</v>
      </c>
      <c r="AT6" s="11" t="str">
        <f t="shared" si="16"/>
        <v>O565275</v>
      </c>
      <c r="AU6" s="11">
        <f t="shared" si="17"/>
        <v>1</v>
      </c>
      <c r="AV6" s="11">
        <f t="shared" si="18"/>
        <v>10057.290000000001</v>
      </c>
      <c r="AW6" s="11" t="str">
        <f t="shared" si="19"/>
        <v>2020/8</v>
      </c>
      <c r="AX6" s="11" t="str">
        <f t="shared" si="9"/>
        <v>2020/8 Contribuciones Seg. Social</v>
      </c>
      <c r="AY6" s="11">
        <f t="shared" si="10"/>
        <v>16338.06</v>
      </c>
      <c r="AZ6" s="11">
        <f t="shared" si="11"/>
        <v>0.61557430931212154</v>
      </c>
      <c r="BA6" s="11" t="str">
        <f t="shared" si="12"/>
        <v>O565275 1</v>
      </c>
      <c r="BB6" s="11">
        <f>IFERROR(IF(AW6="","",VLOOKUP(AW6,SUSS!R:S,2,FALSE)),AY6*SUSS!$M$2)</f>
        <v>1960.5672</v>
      </c>
      <c r="BC6" s="11">
        <f t="shared" si="20"/>
        <v>1206.8748000000001</v>
      </c>
    </row>
    <row r="7" spans="1:56" ht="20.100000000000001" customHeight="1" thickBot="1">
      <c r="A7" s="3" t="s">
        <v>75</v>
      </c>
      <c r="B7" s="87">
        <v>2020</v>
      </c>
      <c r="C7" s="87">
        <v>8</v>
      </c>
      <c r="D7" s="87"/>
      <c r="E7" s="88" t="s">
        <v>11</v>
      </c>
      <c r="F7" s="88" t="s">
        <v>81</v>
      </c>
      <c r="G7" s="88" t="s">
        <v>82</v>
      </c>
      <c r="H7" s="89">
        <v>44203</v>
      </c>
      <c r="I7" s="90">
        <v>851.38</v>
      </c>
      <c r="J7" s="90">
        <v>0</v>
      </c>
      <c r="K7" s="90">
        <v>851.38</v>
      </c>
      <c r="N7" s="3" t="s">
        <v>75</v>
      </c>
      <c r="O7" s="87">
        <v>1</v>
      </c>
      <c r="P7" s="91">
        <v>4782.3999999999996</v>
      </c>
      <c r="Q7" s="88" t="s">
        <v>84</v>
      </c>
      <c r="R7" s="88" t="s">
        <v>10</v>
      </c>
      <c r="S7" s="88" t="s">
        <v>10</v>
      </c>
      <c r="T7" s="87" t="s">
        <v>87</v>
      </c>
      <c r="U7" s="87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2020</v>
      </c>
      <c r="C8" s="87">
        <v>8</v>
      </c>
      <c r="D8" s="87"/>
      <c r="E8" s="88" t="s">
        <v>11</v>
      </c>
      <c r="F8" s="88" t="s">
        <v>83</v>
      </c>
      <c r="G8" s="88" t="s">
        <v>10</v>
      </c>
      <c r="H8" s="89">
        <v>44089</v>
      </c>
      <c r="I8" s="91">
        <v>16266.5</v>
      </c>
      <c r="J8" s="90">
        <v>0</v>
      </c>
      <c r="K8" s="91">
        <v>16266.5</v>
      </c>
      <c r="N8" s="3" t="s">
        <v>75</v>
      </c>
      <c r="O8" s="87">
        <v>2</v>
      </c>
      <c r="P8" s="91">
        <v>6209.21</v>
      </c>
      <c r="Q8" s="88" t="s">
        <v>11</v>
      </c>
      <c r="R8" s="88" t="s">
        <v>83</v>
      </c>
      <c r="S8" s="88" t="s">
        <v>10</v>
      </c>
      <c r="T8" s="87" t="s">
        <v>85</v>
      </c>
      <c r="U8" s="87" t="s">
        <v>86</v>
      </c>
      <c r="AC8" s="11" t="str">
        <f t="shared" si="0"/>
        <v>O565275</v>
      </c>
      <c r="AD8" s="11" t="str">
        <f t="shared" si="1"/>
        <v>Contribuciones Seg. Social</v>
      </c>
      <c r="AE8" s="11" t="str">
        <f t="shared" si="2"/>
        <v>Dj Seg. Soc. No Sipa Dto. 332</v>
      </c>
      <c r="AF8" s="11" t="str">
        <f t="shared" si="3"/>
        <v>Declaración Jurada</v>
      </c>
      <c r="AG8" s="11">
        <f t="shared" si="4"/>
        <v>16266.5</v>
      </c>
      <c r="AH8" s="11">
        <f t="shared" si="5"/>
        <v>0</v>
      </c>
      <c r="AI8" s="11">
        <f t="shared" si="6"/>
        <v>16266.5</v>
      </c>
      <c r="AJ8" s="11">
        <f t="shared" si="7"/>
        <v>2020</v>
      </c>
      <c r="AK8" s="11">
        <f t="shared" si="8"/>
        <v>8</v>
      </c>
      <c r="AN8" s="11" t="str">
        <f t="shared" si="13"/>
        <v xml:space="preserve">2020/8 </v>
      </c>
      <c r="AO8" s="11" t="str">
        <f t="shared" si="14"/>
        <v>2020/8 Contribuciones Seg. Social</v>
      </c>
      <c r="AP8" s="11">
        <f t="shared" si="15"/>
        <v>16266.5</v>
      </c>
      <c r="AT8" s="11" t="str">
        <f t="shared" si="16"/>
        <v>O565275</v>
      </c>
      <c r="AU8" s="11">
        <f t="shared" si="17"/>
        <v>2</v>
      </c>
      <c r="AV8" s="11">
        <f t="shared" si="18"/>
        <v>6209.21</v>
      </c>
      <c r="AW8" s="11" t="str">
        <f t="shared" si="19"/>
        <v>2020/8</v>
      </c>
      <c r="AX8" s="11" t="str">
        <f t="shared" ref="AX8:AX71" si="21">IF(AW8&lt;&gt;"",AW8&amp;" "&amp;$AD$1,"")</f>
        <v>2020/8 Contribuciones Seg. Social</v>
      </c>
      <c r="AY8" s="11">
        <f t="shared" si="10"/>
        <v>16338.06</v>
      </c>
      <c r="AZ8" s="11">
        <f t="shared" si="11"/>
        <v>0.38004573370400158</v>
      </c>
      <c r="BA8" s="11" t="str">
        <f t="shared" ref="BA8:BA71" si="22">AT8&amp;" "&amp;AU8</f>
        <v>O565275 2</v>
      </c>
      <c r="BB8" s="11">
        <f>IFERROR(IF(AW8="","",VLOOKUP(AW8,SUSS!R:S,2,FALSE)),AY8*SUSS!$M$2)</f>
        <v>1960.5672</v>
      </c>
      <c r="BC8" s="11">
        <f t="shared" si="20"/>
        <v>745.10519999999997</v>
      </c>
    </row>
    <row r="9" spans="1:56" ht="20.100000000000001" customHeight="1" thickBot="1">
      <c r="A9" s="3" t="s">
        <v>75</v>
      </c>
      <c r="B9" s="87">
        <v>2020</v>
      </c>
      <c r="C9" s="87">
        <v>8</v>
      </c>
      <c r="D9" s="87"/>
      <c r="E9" s="88" t="s">
        <v>11</v>
      </c>
      <c r="F9" s="88" t="s">
        <v>83</v>
      </c>
      <c r="G9" s="88" t="s">
        <v>82</v>
      </c>
      <c r="H9" s="89">
        <v>44203</v>
      </c>
      <c r="I9" s="91">
        <v>1841.75</v>
      </c>
      <c r="J9" s="90">
        <v>0</v>
      </c>
      <c r="K9" s="91">
        <v>1841.75</v>
      </c>
      <c r="N9" s="3" t="s">
        <v>75</v>
      </c>
      <c r="O9" s="87">
        <v>2</v>
      </c>
      <c r="P9" s="91">
        <v>4139.74</v>
      </c>
      <c r="Q9" s="88" t="s">
        <v>11</v>
      </c>
      <c r="R9" s="88" t="s">
        <v>81</v>
      </c>
      <c r="S9" s="88" t="s">
        <v>10</v>
      </c>
      <c r="T9" s="87" t="s">
        <v>85</v>
      </c>
      <c r="U9" s="87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O565275</v>
      </c>
      <c r="AU9" s="11">
        <f t="shared" si="17"/>
        <v>2</v>
      </c>
      <c r="AV9" s="11">
        <f t="shared" si="18"/>
        <v>4139.74</v>
      </c>
      <c r="AW9" s="11" t="str">
        <f t="shared" si="19"/>
        <v>2020/8</v>
      </c>
      <c r="AX9" s="11" t="str">
        <f t="shared" si="21"/>
        <v>2020/8 Contribuciones Seg. Social</v>
      </c>
      <c r="AY9" s="11">
        <f t="shared" si="10"/>
        <v>16338.06</v>
      </c>
      <c r="AZ9" s="11">
        <f t="shared" si="11"/>
        <v>0.25338014427661548</v>
      </c>
      <c r="BA9" s="11" t="str">
        <f t="shared" si="22"/>
        <v>O565275 2</v>
      </c>
      <c r="BB9" s="11">
        <f>IFERROR(IF(AW9="","",VLOOKUP(AW9,SUSS!R:S,2,FALSE)),AY9*SUSS!$M$2)</f>
        <v>1960.5672</v>
      </c>
      <c r="BC9" s="11">
        <f t="shared" si="20"/>
        <v>496.76880000000006</v>
      </c>
    </row>
    <row r="10" spans="1:56" ht="20.100000000000001" customHeight="1" thickBot="1">
      <c r="A10" s="3" t="s">
        <v>75</v>
      </c>
      <c r="B10" s="87">
        <v>2020</v>
      </c>
      <c r="C10" s="87">
        <v>12</v>
      </c>
      <c r="D10" s="87"/>
      <c r="E10" s="88" t="s">
        <v>84</v>
      </c>
      <c r="F10" s="88" t="s">
        <v>10</v>
      </c>
      <c r="G10" s="88" t="s">
        <v>10</v>
      </c>
      <c r="H10" s="89">
        <v>44208</v>
      </c>
      <c r="I10" s="91">
        <v>42376.11</v>
      </c>
      <c r="J10" s="90">
        <v>0</v>
      </c>
      <c r="K10" s="91">
        <v>42376.11</v>
      </c>
      <c r="N10" s="3" t="s">
        <v>75</v>
      </c>
      <c r="O10" s="87">
        <v>2</v>
      </c>
      <c r="P10" s="91">
        <v>4921.09</v>
      </c>
      <c r="Q10" s="88" t="s">
        <v>84</v>
      </c>
      <c r="R10" s="88" t="s">
        <v>10</v>
      </c>
      <c r="S10" s="88" t="s">
        <v>10</v>
      </c>
      <c r="T10" s="87" t="s">
        <v>87</v>
      </c>
      <c r="U10" s="87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7">
        <v>2020</v>
      </c>
      <c r="C11" s="87">
        <v>12</v>
      </c>
      <c r="D11" s="87"/>
      <c r="E11" s="88" t="s">
        <v>11</v>
      </c>
      <c r="F11" s="88" t="s">
        <v>10</v>
      </c>
      <c r="G11" s="88" t="s">
        <v>10</v>
      </c>
      <c r="H11" s="89">
        <v>44208</v>
      </c>
      <c r="I11" s="91">
        <v>53818.42</v>
      </c>
      <c r="J11" s="90">
        <v>0</v>
      </c>
      <c r="K11" s="91">
        <v>53818.42</v>
      </c>
      <c r="N11" s="3" t="s">
        <v>75</v>
      </c>
      <c r="O11" s="87">
        <v>3</v>
      </c>
      <c r="P11" s="91">
        <v>10649.07</v>
      </c>
      <c r="Q11" s="88" t="s">
        <v>11</v>
      </c>
      <c r="R11" s="88" t="s">
        <v>81</v>
      </c>
      <c r="S11" s="88" t="s">
        <v>10</v>
      </c>
      <c r="T11" s="87" t="s">
        <v>85</v>
      </c>
      <c r="U11" s="87" t="s">
        <v>86</v>
      </c>
      <c r="AC11" s="11" t="str">
        <f t="shared" si="0"/>
        <v>O565275</v>
      </c>
      <c r="AD11" s="11" t="str">
        <f t="shared" si="1"/>
        <v>Contribuciones Seg. Social</v>
      </c>
      <c r="AE11" s="11" t="str">
        <f t="shared" si="2"/>
        <v>Declaración Jurada</v>
      </c>
      <c r="AF11" s="11" t="str">
        <f t="shared" si="3"/>
        <v>Declaración Jurada</v>
      </c>
      <c r="AG11" s="11">
        <f t="shared" si="4"/>
        <v>53818.42</v>
      </c>
      <c r="AH11" s="11">
        <f t="shared" si="5"/>
        <v>0</v>
      </c>
      <c r="AI11" s="11">
        <f t="shared" si="6"/>
        <v>53818.42</v>
      </c>
      <c r="AJ11" s="11">
        <f t="shared" si="7"/>
        <v>2020</v>
      </c>
      <c r="AK11" s="11">
        <f t="shared" si="8"/>
        <v>12</v>
      </c>
      <c r="AN11" s="11" t="str">
        <f t="shared" si="13"/>
        <v>2020/12</v>
      </c>
      <c r="AO11" s="11" t="str">
        <f t="shared" si="14"/>
        <v>2020/12 Contribuciones Seg. Social</v>
      </c>
      <c r="AP11" s="11">
        <f t="shared" si="15"/>
        <v>53818.42</v>
      </c>
      <c r="AT11" s="11" t="str">
        <f t="shared" si="16"/>
        <v>O565275</v>
      </c>
      <c r="AU11" s="11">
        <f t="shared" si="17"/>
        <v>3</v>
      </c>
      <c r="AV11" s="11">
        <f t="shared" si="18"/>
        <v>10649.07</v>
      </c>
      <c r="AW11" s="11" t="str">
        <f t="shared" si="19"/>
        <v>2020/8</v>
      </c>
      <c r="AX11" s="11" t="str">
        <f t="shared" si="21"/>
        <v>2020/8 Contribuciones Seg. Social</v>
      </c>
      <c r="AY11" s="11">
        <f t="shared" si="10"/>
        <v>16338.06</v>
      </c>
      <c r="AZ11" s="11">
        <f t="shared" si="11"/>
        <v>0.65179525598510468</v>
      </c>
      <c r="BA11" s="11" t="str">
        <f t="shared" si="22"/>
        <v>O565275 3</v>
      </c>
      <c r="BB11" s="11">
        <f>IFERROR(IF(AW11="","",VLOOKUP(AW11,SUSS!R:S,2,FALSE)),AY11*SUSS!$M$2)</f>
        <v>1960.5672</v>
      </c>
      <c r="BC11" s="11">
        <f t="shared" si="20"/>
        <v>1277.8883999999998</v>
      </c>
    </row>
    <row r="12" spans="1:56" ht="20.100000000000001" customHeight="1" thickBot="1">
      <c r="N12" s="3" t="s">
        <v>75</v>
      </c>
      <c r="O12" s="87">
        <v>3</v>
      </c>
      <c r="P12" s="91">
        <v>5063.8</v>
      </c>
      <c r="Q12" s="88" t="s">
        <v>84</v>
      </c>
      <c r="R12" s="88" t="s">
        <v>10</v>
      </c>
      <c r="S12" s="88" t="s">
        <v>10</v>
      </c>
      <c r="T12" s="87" t="s">
        <v>87</v>
      </c>
      <c r="U12" s="87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91</v>
      </c>
      <c r="B13" s="108" t="s">
        <v>92</v>
      </c>
      <c r="C13"/>
      <c r="D13"/>
      <c r="E13"/>
      <c r="F13"/>
      <c r="G13"/>
      <c r="H13"/>
      <c r="I13"/>
      <c r="J13"/>
      <c r="K13"/>
      <c r="N13" s="3" t="s">
        <v>75</v>
      </c>
      <c r="O13" s="87">
        <v>4</v>
      </c>
      <c r="P13" s="91">
        <v>1549.25</v>
      </c>
      <c r="Q13" s="88" t="s">
        <v>11</v>
      </c>
      <c r="R13" s="88" t="s">
        <v>81</v>
      </c>
      <c r="S13" s="88" t="s">
        <v>10</v>
      </c>
      <c r="T13" s="87" t="s">
        <v>85</v>
      </c>
      <c r="U13" s="87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O565275</v>
      </c>
      <c r="AU13" s="11">
        <f t="shared" si="17"/>
        <v>4</v>
      </c>
      <c r="AV13" s="11">
        <f t="shared" si="18"/>
        <v>1549.25</v>
      </c>
      <c r="AW13" s="11" t="str">
        <f t="shared" si="19"/>
        <v>2020/8</v>
      </c>
      <c r="AX13" s="11" t="str">
        <f t="shared" si="21"/>
        <v>2020/8 Contribuciones Seg. Social</v>
      </c>
      <c r="AY13" s="11">
        <f t="shared" si="10"/>
        <v>16338.06</v>
      </c>
      <c r="AZ13" s="11">
        <f t="shared" si="11"/>
        <v>9.4824599738279822E-2</v>
      </c>
      <c r="BA13" s="11" t="str">
        <f t="shared" si="22"/>
        <v>O565275 4</v>
      </c>
      <c r="BB13" s="11">
        <f>IFERROR(IF(AW13="","",VLOOKUP(AW13,SUSS!R:S,2,FALSE)),AY13*SUSS!$M$2)</f>
        <v>1960.5672</v>
      </c>
      <c r="BC13" s="11">
        <f t="shared" si="20"/>
        <v>185.91</v>
      </c>
    </row>
    <row r="14" spans="1:56" ht="20.100000000000001" customHeight="1" thickBot="1">
      <c r="A14" s="3" t="s">
        <v>91</v>
      </c>
      <c r="B14" s="92" t="s">
        <v>0</v>
      </c>
      <c r="C14" s="92" t="s">
        <v>1</v>
      </c>
      <c r="D14" s="92" t="s">
        <v>2</v>
      </c>
      <c r="E14" s="92" t="s">
        <v>3</v>
      </c>
      <c r="F14" s="92" t="s">
        <v>4</v>
      </c>
      <c r="G14" s="92" t="s">
        <v>5</v>
      </c>
      <c r="H14" s="92" t="s">
        <v>6</v>
      </c>
      <c r="I14" s="92" t="s">
        <v>7</v>
      </c>
      <c r="J14" s="92" t="s">
        <v>8</v>
      </c>
      <c r="K14" s="92" t="s">
        <v>9</v>
      </c>
      <c r="N14" s="3" t="s">
        <v>75</v>
      </c>
      <c r="O14" s="87">
        <v>4</v>
      </c>
      <c r="P14" s="91">
        <v>1841.75</v>
      </c>
      <c r="Q14" s="88" t="s">
        <v>11</v>
      </c>
      <c r="R14" s="88" t="s">
        <v>83</v>
      </c>
      <c r="S14" s="88" t="s">
        <v>82</v>
      </c>
      <c r="T14" s="87" t="s">
        <v>85</v>
      </c>
      <c r="U14" s="87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>O565275</v>
      </c>
      <c r="AU14" s="11">
        <f t="shared" si="17"/>
        <v>4</v>
      </c>
      <c r="AV14" s="11">
        <f t="shared" si="18"/>
        <v>1841.75</v>
      </c>
      <c r="AW14" s="11" t="str">
        <f t="shared" si="19"/>
        <v>2020/8</v>
      </c>
      <c r="AX14" s="11" t="str">
        <f t="shared" si="21"/>
        <v>2020/8 Contribuciones Seg. Social</v>
      </c>
      <c r="AY14" s="11">
        <f t="shared" si="10"/>
        <v>16338.06</v>
      </c>
      <c r="AZ14" s="11">
        <f t="shared" si="11"/>
        <v>0.11272758209971075</v>
      </c>
      <c r="BA14" s="11" t="str">
        <f t="shared" si="22"/>
        <v>O565275 4</v>
      </c>
      <c r="BB14" s="11">
        <f>IFERROR(IF(AW14="","",VLOOKUP(AW14,SUSS!R:S,2,FALSE)),AY14*SUSS!$M$2)</f>
        <v>1960.5672</v>
      </c>
      <c r="BC14" s="11">
        <f t="shared" si="20"/>
        <v>221.01000000000002</v>
      </c>
    </row>
    <row r="15" spans="1:56" ht="20.100000000000001" customHeight="1" thickBot="1">
      <c r="A15" s="3" t="s">
        <v>91</v>
      </c>
      <c r="B15" s="87">
        <v>2021</v>
      </c>
      <c r="C15" s="87"/>
      <c r="D15" s="87"/>
      <c r="E15" s="88" t="s">
        <v>93</v>
      </c>
      <c r="F15" s="88" t="s">
        <v>10</v>
      </c>
      <c r="G15" s="88" t="s">
        <v>10</v>
      </c>
      <c r="H15" s="89">
        <v>44608</v>
      </c>
      <c r="I15" s="91">
        <v>276187.33</v>
      </c>
      <c r="J15" s="90">
        <v>0</v>
      </c>
      <c r="K15" s="91">
        <v>276187.33</v>
      </c>
      <c r="N15" s="3" t="s">
        <v>75</v>
      </c>
      <c r="O15" s="87">
        <v>4</v>
      </c>
      <c r="P15" s="90">
        <v>851.38</v>
      </c>
      <c r="Q15" s="88" t="s">
        <v>11</v>
      </c>
      <c r="R15" s="88" t="s">
        <v>81</v>
      </c>
      <c r="S15" s="88" t="s">
        <v>82</v>
      </c>
      <c r="T15" s="87" t="s">
        <v>85</v>
      </c>
      <c r="U15" s="87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O565275</v>
      </c>
      <c r="AU15" s="11">
        <f t="shared" si="17"/>
        <v>4</v>
      </c>
      <c r="AV15" s="11">
        <f t="shared" si="18"/>
        <v>851.38</v>
      </c>
      <c r="AW15" s="11" t="str">
        <f t="shared" si="19"/>
        <v>2020/8</v>
      </c>
      <c r="AX15" s="11" t="str">
        <f t="shared" si="21"/>
        <v>2020/8 Contribuciones Seg. Social</v>
      </c>
      <c r="AY15" s="11">
        <f t="shared" si="10"/>
        <v>16338.06</v>
      </c>
      <c r="AZ15" s="11">
        <f t="shared" si="11"/>
        <v>5.2110226061111299E-2</v>
      </c>
      <c r="BA15" s="11" t="str">
        <f t="shared" si="22"/>
        <v>O565275 4</v>
      </c>
      <c r="BB15" s="11">
        <f>IFERROR(IF(AW15="","",VLOOKUP(AW15,SUSS!R:S,2,FALSE)),AY15*SUSS!$M$2)</f>
        <v>1960.5672</v>
      </c>
      <c r="BC15" s="11">
        <f t="shared" si="20"/>
        <v>102.16560000000001</v>
      </c>
    </row>
    <row r="16" spans="1:56" ht="20.100000000000001" customHeight="1" thickBot="1">
      <c r="B16" s="3" t="s">
        <v>92</v>
      </c>
      <c r="N16" s="3" t="s">
        <v>75</v>
      </c>
      <c r="O16" s="87">
        <v>4</v>
      </c>
      <c r="P16" s="91">
        <v>6715.51</v>
      </c>
      <c r="Q16" s="88" t="s">
        <v>11</v>
      </c>
      <c r="R16" s="88" t="s">
        <v>10</v>
      </c>
      <c r="S16" s="88" t="s">
        <v>10</v>
      </c>
      <c r="T16" s="87" t="s">
        <v>87</v>
      </c>
      <c r="U16" s="87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O565275</v>
      </c>
      <c r="AU16" s="11">
        <f t="shared" si="17"/>
        <v>4</v>
      </c>
      <c r="AV16" s="11">
        <f t="shared" si="18"/>
        <v>6715.51</v>
      </c>
      <c r="AW16" s="11" t="str">
        <f t="shared" si="19"/>
        <v>2020/12</v>
      </c>
      <c r="AX16" s="11" t="str">
        <f t="shared" si="21"/>
        <v>2020/12 Contribuciones Seg. Social</v>
      </c>
      <c r="AY16" s="11">
        <f t="shared" si="10"/>
        <v>53818.42</v>
      </c>
      <c r="AZ16" s="11">
        <f t="shared" si="11"/>
        <v>0.12478088357108962</v>
      </c>
      <c r="BA16" s="11" t="str">
        <f t="shared" si="22"/>
        <v>O565275 4</v>
      </c>
      <c r="BB16" s="11">
        <f>IFERROR(IF(AW16="","",VLOOKUP(AW16,SUSS!R:S,2,FALSE)),AY16*SUSS!$M$2)</f>
        <v>5538.36</v>
      </c>
      <c r="BC16" s="11">
        <f t="shared" si="20"/>
        <v>691.08145433477989</v>
      </c>
    </row>
    <row r="17" spans="1:55" ht="20.100000000000001" customHeight="1" thickBot="1">
      <c r="A17" s="118" t="s">
        <v>97</v>
      </c>
      <c r="B17" s="110" t="s">
        <v>0</v>
      </c>
      <c r="C17" s="110" t="s">
        <v>1</v>
      </c>
      <c r="D17" s="110" t="s">
        <v>2</v>
      </c>
      <c r="E17" s="110" t="s">
        <v>3</v>
      </c>
      <c r="F17" s="110" t="s">
        <v>4</v>
      </c>
      <c r="G17" s="110" t="s">
        <v>5</v>
      </c>
      <c r="H17" s="110" t="s">
        <v>6</v>
      </c>
      <c r="I17" s="110" t="s">
        <v>7</v>
      </c>
      <c r="J17" s="110" t="s">
        <v>8</v>
      </c>
      <c r="K17" s="110" t="s">
        <v>9</v>
      </c>
      <c r="N17" s="3" t="s">
        <v>75</v>
      </c>
      <c r="O17" s="87">
        <v>4</v>
      </c>
      <c r="P17" s="91">
        <v>5210.6499999999996</v>
      </c>
      <c r="Q17" s="88" t="s">
        <v>84</v>
      </c>
      <c r="R17" s="88" t="s">
        <v>10</v>
      </c>
      <c r="S17" s="88" t="s">
        <v>10</v>
      </c>
      <c r="T17" s="87" t="s">
        <v>87</v>
      </c>
      <c r="U17" s="87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118" t="s">
        <v>97</v>
      </c>
      <c r="B18" s="111">
        <v>2021</v>
      </c>
      <c r="C18" s="111"/>
      <c r="D18" s="111"/>
      <c r="E18" s="112" t="s">
        <v>98</v>
      </c>
      <c r="F18" s="112" t="s">
        <v>10</v>
      </c>
      <c r="G18" s="112" t="s">
        <v>10</v>
      </c>
      <c r="H18" s="113">
        <v>44736</v>
      </c>
      <c r="I18" s="114">
        <v>52399.47</v>
      </c>
      <c r="J18" s="115">
        <v>0</v>
      </c>
      <c r="K18" s="114">
        <v>52399.47</v>
      </c>
      <c r="N18" s="3" t="s">
        <v>75</v>
      </c>
      <c r="O18" s="87">
        <v>5</v>
      </c>
      <c r="P18" s="91">
        <v>5361.76</v>
      </c>
      <c r="Q18" s="88" t="s">
        <v>84</v>
      </c>
      <c r="R18" s="88" t="s">
        <v>10</v>
      </c>
      <c r="S18" s="88" t="s">
        <v>10</v>
      </c>
      <c r="T18" s="87" t="s">
        <v>87</v>
      </c>
      <c r="U18" s="87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118" t="s">
        <v>97</v>
      </c>
      <c r="B19" s="116">
        <v>2021</v>
      </c>
      <c r="C19" s="116"/>
      <c r="D19" s="116"/>
      <c r="E19" s="117" t="s">
        <v>98</v>
      </c>
      <c r="F19" s="117" t="s">
        <v>10</v>
      </c>
      <c r="G19" s="117" t="s">
        <v>82</v>
      </c>
      <c r="H19" s="95">
        <v>44803</v>
      </c>
      <c r="I19" s="93">
        <v>4843.8100000000004</v>
      </c>
      <c r="J19" s="94">
        <v>0</v>
      </c>
      <c r="K19" s="93">
        <v>4843.8100000000004</v>
      </c>
      <c r="N19" s="3" t="s">
        <v>75</v>
      </c>
      <c r="O19" s="87">
        <v>5</v>
      </c>
      <c r="P19" s="91">
        <v>11275.67</v>
      </c>
      <c r="Q19" s="88" t="s">
        <v>11</v>
      </c>
      <c r="R19" s="88" t="s">
        <v>10</v>
      </c>
      <c r="S19" s="88" t="s">
        <v>10</v>
      </c>
      <c r="T19" s="87" t="s">
        <v>87</v>
      </c>
      <c r="U19" s="87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O565275</v>
      </c>
      <c r="AU19" s="11">
        <f t="shared" si="17"/>
        <v>5</v>
      </c>
      <c r="AV19" s="11">
        <f t="shared" si="18"/>
        <v>11275.67</v>
      </c>
      <c r="AW19" s="11" t="str">
        <f t="shared" si="19"/>
        <v>2020/12</v>
      </c>
      <c r="AX19" s="11" t="str">
        <f t="shared" si="21"/>
        <v>2020/12 Contribuciones Seg. Social</v>
      </c>
      <c r="AY19" s="11">
        <f t="shared" si="10"/>
        <v>53818.42</v>
      </c>
      <c r="AZ19" s="11">
        <f t="shared" si="11"/>
        <v>0.20951321127599065</v>
      </c>
      <c r="BA19" s="11" t="str">
        <f t="shared" si="22"/>
        <v>O565275 5</v>
      </c>
      <c r="BB19" s="11">
        <f>IFERROR(IF(AW19="","",VLOOKUP(AW19,SUSS!R:S,2,FALSE)),AY19*SUSS!$M$2)</f>
        <v>5538.36</v>
      </c>
      <c r="BC19" s="11">
        <f t="shared" si="20"/>
        <v>1160.3595888024954</v>
      </c>
    </row>
    <row r="20" spans="1:55" ht="20.100000000000001" customHeight="1" thickBot="1">
      <c r="N20" s="3" t="s">
        <v>75</v>
      </c>
      <c r="O20" s="87">
        <v>6</v>
      </c>
      <c r="P20" s="91">
        <v>5517.25</v>
      </c>
      <c r="Q20" s="88" t="s">
        <v>84</v>
      </c>
      <c r="R20" s="88" t="s">
        <v>10</v>
      </c>
      <c r="S20" s="88" t="s">
        <v>10</v>
      </c>
      <c r="T20" s="87" t="s">
        <v>87</v>
      </c>
      <c r="U20" s="87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101</v>
      </c>
      <c r="B21" s="130" t="s">
        <v>92</v>
      </c>
      <c r="C21"/>
      <c r="D21"/>
      <c r="E21"/>
      <c r="F21"/>
      <c r="G21"/>
      <c r="H21"/>
      <c r="I21"/>
      <c r="J21"/>
      <c r="K21"/>
      <c r="N21" s="3" t="s">
        <v>75</v>
      </c>
      <c r="O21" s="87">
        <v>6</v>
      </c>
      <c r="P21" s="91">
        <v>11602.66</v>
      </c>
      <c r="Q21" s="88" t="s">
        <v>11</v>
      </c>
      <c r="R21" s="88" t="s">
        <v>10</v>
      </c>
      <c r="S21" s="88" t="s">
        <v>10</v>
      </c>
      <c r="T21" s="87" t="s">
        <v>87</v>
      </c>
      <c r="U21" s="87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O565275</v>
      </c>
      <c r="AU21" s="11">
        <f t="shared" si="17"/>
        <v>6</v>
      </c>
      <c r="AV21" s="11">
        <f t="shared" si="18"/>
        <v>11602.66</v>
      </c>
      <c r="AW21" s="11" t="str">
        <f t="shared" si="19"/>
        <v>2020/12</v>
      </c>
      <c r="AX21" s="11" t="str">
        <f t="shared" si="21"/>
        <v>2020/12 Contribuciones Seg. Social</v>
      </c>
      <c r="AY21" s="11">
        <f t="shared" si="10"/>
        <v>53818.42</v>
      </c>
      <c r="AZ21" s="11">
        <f t="shared" si="11"/>
        <v>0.21558901208916947</v>
      </c>
      <c r="BA21" s="11" t="str">
        <f t="shared" si="22"/>
        <v>O565275 6</v>
      </c>
      <c r="BB21" s="11">
        <f>IFERROR(IF(AW21="","",VLOOKUP(AW21,SUSS!R:S,2,FALSE)),AY21*SUSS!$M$2)</f>
        <v>5538.36</v>
      </c>
      <c r="BC21" s="11">
        <f t="shared" si="20"/>
        <v>1194.0095609941725</v>
      </c>
    </row>
    <row r="22" spans="1:55" ht="20.100000000000001" customHeight="1" thickBot="1">
      <c r="A22" s="3" t="s">
        <v>101</v>
      </c>
      <c r="B22" s="92" t="s">
        <v>0</v>
      </c>
      <c r="C22" s="92" t="s">
        <v>1</v>
      </c>
      <c r="D22" s="92" t="s">
        <v>2</v>
      </c>
      <c r="E22" s="92" t="s">
        <v>3</v>
      </c>
      <c r="F22" s="92" t="s">
        <v>4</v>
      </c>
      <c r="G22" s="92" t="s">
        <v>5</v>
      </c>
      <c r="H22" s="92" t="s">
        <v>6</v>
      </c>
      <c r="I22" s="92" t="s">
        <v>7</v>
      </c>
      <c r="J22" s="92" t="s">
        <v>8</v>
      </c>
      <c r="K22" s="92" t="s">
        <v>9</v>
      </c>
      <c r="N22" s="3" t="s">
        <v>75</v>
      </c>
      <c r="O22" s="87">
        <v>7</v>
      </c>
      <c r="P22" s="91">
        <v>11939.14</v>
      </c>
      <c r="Q22" s="88" t="s">
        <v>11</v>
      </c>
      <c r="R22" s="88" t="s">
        <v>10</v>
      </c>
      <c r="S22" s="88" t="s">
        <v>10</v>
      </c>
      <c r="T22" s="87" t="s">
        <v>87</v>
      </c>
      <c r="U22" s="87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O565275</v>
      </c>
      <c r="AU22" s="11">
        <f t="shared" si="17"/>
        <v>7</v>
      </c>
      <c r="AV22" s="11">
        <f t="shared" si="18"/>
        <v>11939.14</v>
      </c>
      <c r="AW22" s="11" t="str">
        <f t="shared" si="19"/>
        <v>2020/12</v>
      </c>
      <c r="AX22" s="11" t="str">
        <f t="shared" si="21"/>
        <v>2020/12 Contribuciones Seg. Social</v>
      </c>
      <c r="AY22" s="11">
        <f t="shared" si="10"/>
        <v>53818.42</v>
      </c>
      <c r="AZ22" s="11">
        <f t="shared" si="11"/>
        <v>0.22184114658141207</v>
      </c>
      <c r="BA22" s="11" t="str">
        <f t="shared" si="22"/>
        <v>O565275 7</v>
      </c>
      <c r="BB22" s="11">
        <f>IFERROR(IF(AW22="","",VLOOKUP(AW22,SUSS!R:S,2,FALSE)),AY22*SUSS!$M$2)</f>
        <v>5538.36</v>
      </c>
      <c r="BC22" s="11">
        <f t="shared" si="20"/>
        <v>1228.6361325806292</v>
      </c>
    </row>
    <row r="23" spans="1:55" ht="20.100000000000001" customHeight="1" thickBot="1">
      <c r="A23" s="3" t="s">
        <v>101</v>
      </c>
      <c r="B23" s="87">
        <v>2023</v>
      </c>
      <c r="C23" s="87">
        <v>1</v>
      </c>
      <c r="D23" s="87"/>
      <c r="E23" s="88" t="s">
        <v>102</v>
      </c>
      <c r="F23" s="88" t="s">
        <v>10</v>
      </c>
      <c r="G23" s="88" t="s">
        <v>10</v>
      </c>
      <c r="H23" s="89">
        <v>44981</v>
      </c>
      <c r="I23" s="91">
        <v>85520.02</v>
      </c>
      <c r="J23" s="90">
        <v>0</v>
      </c>
      <c r="K23" s="91">
        <v>85520.02</v>
      </c>
      <c r="N23" s="3" t="s">
        <v>75</v>
      </c>
      <c r="O23" s="87">
        <v>7</v>
      </c>
      <c r="P23" s="91">
        <v>5677.25</v>
      </c>
      <c r="Q23" s="88" t="s">
        <v>84</v>
      </c>
      <c r="R23" s="88" t="s">
        <v>10</v>
      </c>
      <c r="S23" s="88" t="s">
        <v>10</v>
      </c>
      <c r="T23" s="87" t="s">
        <v>87</v>
      </c>
      <c r="U23" s="87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75</v>
      </c>
      <c r="O24" s="87">
        <v>8</v>
      </c>
      <c r="P24" s="91">
        <v>5841.91</v>
      </c>
      <c r="Q24" s="88" t="s">
        <v>84</v>
      </c>
      <c r="R24" s="88" t="s">
        <v>10</v>
      </c>
      <c r="S24" s="88" t="s">
        <v>10</v>
      </c>
      <c r="T24" s="87" t="s">
        <v>87</v>
      </c>
      <c r="U24" s="87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7">
        <v>8</v>
      </c>
      <c r="P25" s="91">
        <v>12285.44</v>
      </c>
      <c r="Q25" s="88" t="s">
        <v>11</v>
      </c>
      <c r="R25" s="88" t="s">
        <v>10</v>
      </c>
      <c r="S25" s="88" t="s">
        <v>10</v>
      </c>
      <c r="T25" s="87" t="s">
        <v>87</v>
      </c>
      <c r="U25" s="87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O565275</v>
      </c>
      <c r="AU25" s="11">
        <f t="shared" si="17"/>
        <v>8</v>
      </c>
      <c r="AV25" s="11">
        <f t="shared" si="18"/>
        <v>12285.44</v>
      </c>
      <c r="AW25" s="11" t="str">
        <f t="shared" si="19"/>
        <v>2020/12</v>
      </c>
      <c r="AX25" s="11" t="str">
        <f t="shared" si="21"/>
        <v>2020/12 Contribuciones Seg. Social</v>
      </c>
      <c r="AY25" s="11">
        <f t="shared" si="10"/>
        <v>53818.42</v>
      </c>
      <c r="AZ25" s="11">
        <f t="shared" si="11"/>
        <v>0.22827574648233823</v>
      </c>
      <c r="BA25" s="11" t="str">
        <f t="shared" si="22"/>
        <v>O565275 8</v>
      </c>
      <c r="BB25" s="11">
        <f>IFERROR(IF(AW25="","",VLOOKUP(AW25,SUSS!R:S,2,FALSE)),AY25*SUSS!$M$2)</f>
        <v>5538.36</v>
      </c>
      <c r="BC25" s="11">
        <f t="shared" si="20"/>
        <v>1264.2732632879226</v>
      </c>
    </row>
    <row r="26" spans="1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91</v>
      </c>
      <c r="O27" s="108" t="s">
        <v>17</v>
      </c>
      <c r="P27"/>
      <c r="Q27"/>
      <c r="R27"/>
      <c r="S27"/>
      <c r="T27"/>
      <c r="U27"/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92" t="s">
        <v>13</v>
      </c>
      <c r="P28" s="92" t="s">
        <v>14</v>
      </c>
      <c r="Q28" s="92" t="s">
        <v>3</v>
      </c>
      <c r="R28" s="92" t="s">
        <v>4</v>
      </c>
      <c r="S28" s="92" t="s">
        <v>5</v>
      </c>
      <c r="T28" s="92" t="s">
        <v>15</v>
      </c>
      <c r="U28" s="92" t="s">
        <v>16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91</v>
      </c>
      <c r="O29" s="82" t="s">
        <v>94</v>
      </c>
      <c r="P29" s="85">
        <v>69046.83</v>
      </c>
      <c r="Q29" s="83" t="s">
        <v>93</v>
      </c>
      <c r="R29" s="83" t="s">
        <v>10</v>
      </c>
      <c r="S29" s="83" t="s">
        <v>10</v>
      </c>
      <c r="T29" s="82" t="s">
        <v>95</v>
      </c>
      <c r="U29" s="82" t="s">
        <v>96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N30" s="3" t="s">
        <v>91</v>
      </c>
      <c r="O30" s="87">
        <v>1</v>
      </c>
      <c r="P30" s="91">
        <v>66896.960000000006</v>
      </c>
      <c r="Q30" s="88" t="s">
        <v>93</v>
      </c>
      <c r="R30" s="88" t="s">
        <v>10</v>
      </c>
      <c r="S30" s="88" t="s">
        <v>10</v>
      </c>
      <c r="T30" s="87" t="s">
        <v>95</v>
      </c>
      <c r="U30" s="87" t="s">
        <v>96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91</v>
      </c>
      <c r="O31" s="87">
        <v>2</v>
      </c>
      <c r="P31" s="91">
        <v>69024.28</v>
      </c>
      <c r="Q31" s="88" t="s">
        <v>93</v>
      </c>
      <c r="R31" s="88" t="s">
        <v>10</v>
      </c>
      <c r="S31" s="88" t="s">
        <v>10</v>
      </c>
      <c r="T31" s="87" t="s">
        <v>95</v>
      </c>
      <c r="U31" s="87" t="s">
        <v>96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7">
        <v>3</v>
      </c>
      <c r="P32" s="91">
        <v>71219.259999999995</v>
      </c>
      <c r="Q32" s="88" t="s">
        <v>93</v>
      </c>
      <c r="R32" s="88" t="s">
        <v>10</v>
      </c>
      <c r="S32" s="88" t="s">
        <v>10</v>
      </c>
      <c r="T32" s="87" t="s">
        <v>95</v>
      </c>
      <c r="U32" s="87" t="s">
        <v>86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97</v>
      </c>
      <c r="O34" s="119" t="s">
        <v>17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97</v>
      </c>
      <c r="O35" s="110" t="s">
        <v>13</v>
      </c>
      <c r="P35" s="110" t="s">
        <v>14</v>
      </c>
      <c r="Q35" s="110" t="s">
        <v>3</v>
      </c>
      <c r="R35" s="110" t="s">
        <v>4</v>
      </c>
      <c r="S35" s="110" t="s">
        <v>5</v>
      </c>
      <c r="T35" s="110" t="s">
        <v>15</v>
      </c>
      <c r="U35" s="110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97</v>
      </c>
      <c r="O36" s="111">
        <v>1</v>
      </c>
      <c r="P36" s="114">
        <v>13478.21</v>
      </c>
      <c r="Q36" s="112" t="s">
        <v>98</v>
      </c>
      <c r="R36" s="112" t="s">
        <v>10</v>
      </c>
      <c r="S36" s="112" t="s">
        <v>10</v>
      </c>
      <c r="T36" s="111" t="s">
        <v>95</v>
      </c>
      <c r="U36" s="111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97</v>
      </c>
      <c r="O37" s="116">
        <v>2</v>
      </c>
      <c r="P37" s="93">
        <v>14018.69</v>
      </c>
      <c r="Q37" s="117" t="s">
        <v>98</v>
      </c>
      <c r="R37" s="117" t="s">
        <v>10</v>
      </c>
      <c r="S37" s="117" t="s">
        <v>10</v>
      </c>
      <c r="T37" s="116" t="s">
        <v>95</v>
      </c>
      <c r="U37" s="116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97</v>
      </c>
      <c r="O38" s="116">
        <v>3</v>
      </c>
      <c r="P38" s="93">
        <v>14580.84</v>
      </c>
      <c r="Q38" s="117" t="s">
        <v>98</v>
      </c>
      <c r="R38" s="117" t="s">
        <v>10</v>
      </c>
      <c r="S38" s="117" t="s">
        <v>10</v>
      </c>
      <c r="T38" s="116" t="s">
        <v>95</v>
      </c>
      <c r="U38" s="116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97</v>
      </c>
      <c r="O39" s="116">
        <v>4</v>
      </c>
      <c r="P39" s="93">
        <v>10321.73</v>
      </c>
      <c r="Q39" s="117" t="s">
        <v>98</v>
      </c>
      <c r="R39" s="117" t="s">
        <v>10</v>
      </c>
      <c r="S39" s="117" t="s">
        <v>10</v>
      </c>
      <c r="T39" s="116" t="s">
        <v>95</v>
      </c>
      <c r="U39" s="116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97</v>
      </c>
      <c r="O40" s="116">
        <v>4</v>
      </c>
      <c r="P40" s="93">
        <v>4843.8100000000004</v>
      </c>
      <c r="Q40" s="117" t="s">
        <v>98</v>
      </c>
      <c r="R40" s="117" t="s">
        <v>10</v>
      </c>
      <c r="S40" s="117" t="s">
        <v>82</v>
      </c>
      <c r="T40" s="116" t="s">
        <v>95</v>
      </c>
      <c r="U40" s="116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101</v>
      </c>
      <c r="O42" s="130" t="s">
        <v>17</v>
      </c>
      <c r="P42"/>
      <c r="Q42"/>
      <c r="R42"/>
      <c r="S42"/>
      <c r="T42"/>
      <c r="U42"/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101</v>
      </c>
      <c r="O43" s="92" t="s">
        <v>13</v>
      </c>
      <c r="P43" s="92" t="s">
        <v>14</v>
      </c>
      <c r="Q43" s="92" t="s">
        <v>3</v>
      </c>
      <c r="R43" s="92" t="s">
        <v>4</v>
      </c>
      <c r="S43" s="92" t="s">
        <v>5</v>
      </c>
      <c r="T43" s="92" t="s">
        <v>15</v>
      </c>
      <c r="U43" s="92" t="s">
        <v>16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101</v>
      </c>
      <c r="O44" s="82">
        <v>1</v>
      </c>
      <c r="P44" s="85">
        <v>41654.1</v>
      </c>
      <c r="Q44" s="83" t="s">
        <v>102</v>
      </c>
      <c r="R44" s="83" t="s">
        <v>10</v>
      </c>
      <c r="S44" s="83" t="s">
        <v>10</v>
      </c>
      <c r="T44" s="82" t="s">
        <v>103</v>
      </c>
      <c r="U44" s="82" t="s">
        <v>96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101</v>
      </c>
      <c r="O45" s="87">
        <v>2</v>
      </c>
      <c r="P45" s="91">
        <v>43865.919999999998</v>
      </c>
      <c r="Q45" s="88" t="s">
        <v>102</v>
      </c>
      <c r="R45" s="88" t="s">
        <v>10</v>
      </c>
      <c r="S45" s="88" t="s">
        <v>10</v>
      </c>
      <c r="T45" s="87" t="s">
        <v>103</v>
      </c>
      <c r="U45" s="87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1" sqref="F21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56" t="s">
        <v>30</v>
      </c>
      <c r="D1" s="156"/>
      <c r="E1" s="156"/>
      <c r="F1" s="156"/>
      <c r="G1" s="156"/>
      <c r="H1" s="156"/>
      <c r="K1" s="68">
        <f>'Resumen Mail'!B7</f>
        <v>45047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O565275 1</v>
      </c>
      <c r="B3" s="3" t="str">
        <f>+Descripción!B6</f>
        <v>O565275</v>
      </c>
      <c r="C3" s="158">
        <v>1</v>
      </c>
      <c r="D3" s="160">
        <v>14839.69</v>
      </c>
      <c r="E3" s="96">
        <v>3813.28</v>
      </c>
      <c r="F3" s="97" t="s">
        <v>88</v>
      </c>
      <c r="G3" s="96">
        <v>18652.97</v>
      </c>
      <c r="H3" s="98">
        <v>44243</v>
      </c>
      <c r="I3" s="41">
        <v>44243</v>
      </c>
      <c r="J3" s="30">
        <f t="shared" ref="J3:J15" si="0">IF(I3&lt;&gt;"",I3-DAY(I3)+1,IF(A2=A3,IF(I2&lt;&gt;"","-",""),IF(A3=A4,IF(I4&lt;&gt;"","-",""),"")))</f>
        <v>44228</v>
      </c>
      <c r="L3" s="11">
        <f>IF(I3&lt;&gt;"",IF(SUMIF(Planes!BA:BA,'Control de pagos'!A3,Planes!BC:BC)=0,"",SUMIF(Planes!BA:BA,'Control de pagos'!A3,Planes!BC:BC)),"")</f>
        <v>1206.8748000000001</v>
      </c>
      <c r="N3" s="66">
        <f>IF(D3=0,D2,D3)</f>
        <v>14839.69</v>
      </c>
    </row>
    <row r="4" spans="1:14" ht="15.75" thickBot="1">
      <c r="A4" s="11" t="str">
        <f t="shared" ref="A4:A41" si="1">B4&amp;" "&amp;IF(C4="",C3,C4)</f>
        <v>O565275 1</v>
      </c>
      <c r="B4" s="3" t="s">
        <v>75</v>
      </c>
      <c r="C4" s="159"/>
      <c r="D4" s="161"/>
      <c r="E4" s="93">
        <v>3813.28</v>
      </c>
      <c r="F4" s="94">
        <v>208.29</v>
      </c>
      <c r="G4" s="93">
        <v>18861.259999999998</v>
      </c>
      <c r="H4" s="95">
        <v>44253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14839.69</v>
      </c>
    </row>
    <row r="5" spans="1:14" ht="15.75" thickBot="1">
      <c r="A5" s="11" t="str">
        <f t="shared" si="1"/>
        <v>O565275 2</v>
      </c>
      <c r="B5" s="3" t="s">
        <v>75</v>
      </c>
      <c r="C5" s="166">
        <v>2</v>
      </c>
      <c r="D5" s="168">
        <v>15270.04</v>
      </c>
      <c r="E5" s="99">
        <v>3382.93</v>
      </c>
      <c r="F5" s="100" t="s">
        <v>88</v>
      </c>
      <c r="G5" s="99">
        <v>18652.97</v>
      </c>
      <c r="H5" s="101">
        <v>44271</v>
      </c>
      <c r="I5" s="41">
        <v>44271</v>
      </c>
      <c r="J5" s="30">
        <f t="shared" si="0"/>
        <v>44256</v>
      </c>
      <c r="L5" s="11">
        <f>IF(I5&lt;&gt;"",IF(SUMIF(Planes!BA:BA,'Control de pagos'!A5,Planes!BC:BC)=0,"",SUMIF(Planes!BA:BA,'Control de pagos'!A5,Planes!BC:BC)),"")</f>
        <v>1241.874</v>
      </c>
      <c r="N5" s="66">
        <f t="shared" si="2"/>
        <v>15270.04</v>
      </c>
    </row>
    <row r="6" spans="1:14" ht="15.75" thickBot="1">
      <c r="A6" s="11" t="str">
        <f t="shared" si="1"/>
        <v>O565275 2</v>
      </c>
      <c r="B6" s="3" t="s">
        <v>75</v>
      </c>
      <c r="C6" s="167"/>
      <c r="D6" s="169"/>
      <c r="E6" s="93">
        <v>3382.93</v>
      </c>
      <c r="F6" s="94">
        <v>208.29</v>
      </c>
      <c r="G6" s="93">
        <v>18861.259999999998</v>
      </c>
      <c r="H6" s="95">
        <v>44281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15270.04</v>
      </c>
    </row>
    <row r="7" spans="1:14" ht="15.75" thickBot="1">
      <c r="A7" s="11" t="str">
        <f t="shared" si="1"/>
        <v>O565275 3</v>
      </c>
      <c r="B7" s="3" t="s">
        <v>75</v>
      </c>
      <c r="C7" s="166">
        <v>3</v>
      </c>
      <c r="D7" s="168">
        <v>15712.87</v>
      </c>
      <c r="E7" s="99">
        <v>2940.1</v>
      </c>
      <c r="F7" s="100" t="s">
        <v>88</v>
      </c>
      <c r="G7" s="99">
        <v>18652.97</v>
      </c>
      <c r="H7" s="101">
        <v>44302</v>
      </c>
      <c r="I7" s="41">
        <v>44302</v>
      </c>
      <c r="J7" s="30">
        <f t="shared" si="0"/>
        <v>44287</v>
      </c>
      <c r="L7" s="11">
        <f>IF(I7&lt;&gt;"",IF(SUMIF(Planes!BA:BA,'Control de pagos'!A7,Planes!BC:BC)=0,"",SUMIF(Planes!BA:BA,'Control de pagos'!A7,Planes!BC:BC)),"")</f>
        <v>1277.8883999999998</v>
      </c>
      <c r="N7" s="66">
        <f t="shared" si="2"/>
        <v>15712.87</v>
      </c>
    </row>
    <row r="8" spans="1:14" ht="15.75" thickBot="1">
      <c r="A8" s="11" t="str">
        <f t="shared" si="1"/>
        <v>O565275 3</v>
      </c>
      <c r="B8" s="3" t="s">
        <v>75</v>
      </c>
      <c r="C8" s="167"/>
      <c r="D8" s="169"/>
      <c r="E8" s="93">
        <v>2940.1</v>
      </c>
      <c r="F8" s="94">
        <v>208.29</v>
      </c>
      <c r="G8" s="93">
        <v>18861.259999999998</v>
      </c>
      <c r="H8" s="95">
        <v>44312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15712.87</v>
      </c>
    </row>
    <row r="9" spans="1:14" ht="15.75" thickBot="1">
      <c r="A9" s="11" t="str">
        <f t="shared" si="1"/>
        <v>O565275 4</v>
      </c>
      <c r="B9" s="3" t="s">
        <v>75</v>
      </c>
      <c r="C9" s="158">
        <v>4</v>
      </c>
      <c r="D9" s="160">
        <v>16168.54</v>
      </c>
      <c r="E9" s="102">
        <v>2484.4299999999998</v>
      </c>
      <c r="F9" s="103" t="s">
        <v>88</v>
      </c>
      <c r="G9" s="102">
        <v>18652.97</v>
      </c>
      <c r="H9" s="104">
        <v>44332</v>
      </c>
      <c r="I9" s="41">
        <v>44332</v>
      </c>
      <c r="J9" s="30">
        <f t="shared" si="0"/>
        <v>44317</v>
      </c>
      <c r="L9" s="11">
        <f>IF(I9&lt;&gt;"",IF(SUMIF(Planes!BA:BA,'Control de pagos'!A9,Planes!BC:BC)=0,"",SUMIF(Planes!BA:BA,'Control de pagos'!A9,Planes!BC:BC)),"")</f>
        <v>1200.16705433478</v>
      </c>
      <c r="N9" s="66">
        <f t="shared" si="2"/>
        <v>16168.54</v>
      </c>
    </row>
    <row r="10" spans="1:14" ht="15.75" thickBot="1">
      <c r="A10" s="11" t="str">
        <f t="shared" si="1"/>
        <v>O565275 4</v>
      </c>
      <c r="B10" s="3" t="s">
        <v>75</v>
      </c>
      <c r="C10" s="159"/>
      <c r="D10" s="161"/>
      <c r="E10" s="93">
        <v>2484.4299999999998</v>
      </c>
      <c r="F10" s="94">
        <v>208.29</v>
      </c>
      <c r="G10" s="93">
        <v>18861.259999999998</v>
      </c>
      <c r="H10" s="95">
        <v>44342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16168.54</v>
      </c>
    </row>
    <row r="11" spans="1:14" ht="15.75" thickBot="1">
      <c r="A11" s="11" t="str">
        <f t="shared" si="1"/>
        <v>O565275 5</v>
      </c>
      <c r="B11" s="3" t="s">
        <v>75</v>
      </c>
      <c r="C11" s="158">
        <v>5</v>
      </c>
      <c r="D11" s="160">
        <v>16637.43</v>
      </c>
      <c r="E11" s="93">
        <v>2015.54</v>
      </c>
      <c r="F11" s="94" t="s">
        <v>88</v>
      </c>
      <c r="G11" s="93">
        <v>18652.97</v>
      </c>
      <c r="H11" s="95">
        <v>44363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16637.43</v>
      </c>
    </row>
    <row r="12" spans="1:14" ht="15.75" thickBot="1">
      <c r="A12" s="11" t="str">
        <f t="shared" si="1"/>
        <v>O565275 5</v>
      </c>
      <c r="B12" s="3" t="s">
        <v>75</v>
      </c>
      <c r="C12" s="159"/>
      <c r="D12" s="161"/>
      <c r="E12" s="102">
        <v>2015.54</v>
      </c>
      <c r="F12" s="103">
        <v>208.29</v>
      </c>
      <c r="G12" s="102">
        <v>18861.259999999998</v>
      </c>
      <c r="H12" s="104">
        <v>44373</v>
      </c>
      <c r="I12" s="41">
        <v>44373</v>
      </c>
      <c r="J12" s="30">
        <f t="shared" si="0"/>
        <v>44348</v>
      </c>
      <c r="L12" s="11">
        <f>IF(I12&lt;&gt;"",IF(SUMIF(Planes!BA:BA,'Control de pagos'!A12,Planes!BC:BC)=0,"",SUMIF(Planes!BA:BA,'Control de pagos'!A12,Planes!BC:BC)),"")</f>
        <v>1160.3595888024954</v>
      </c>
      <c r="N12" s="66">
        <f t="shared" si="2"/>
        <v>16637.43</v>
      </c>
    </row>
    <row r="13" spans="1:14" ht="15.75" thickBot="1">
      <c r="A13" s="11" t="str">
        <f t="shared" si="1"/>
        <v>O565275 6</v>
      </c>
      <c r="B13" s="3" t="s">
        <v>75</v>
      </c>
      <c r="C13" s="158">
        <v>6</v>
      </c>
      <c r="D13" s="160">
        <v>17119.91</v>
      </c>
      <c r="E13" s="102">
        <v>1533.06</v>
      </c>
      <c r="F13" s="103" t="s">
        <v>88</v>
      </c>
      <c r="G13" s="102">
        <v>18652.97</v>
      </c>
      <c r="H13" s="104">
        <v>44393</v>
      </c>
      <c r="I13" s="41">
        <v>44393</v>
      </c>
      <c r="J13" s="30">
        <f t="shared" si="0"/>
        <v>44378</v>
      </c>
      <c r="L13" s="11">
        <f>IF(I13&lt;&gt;"",IF(SUMIF(Planes!BA:BA,'Control de pagos'!A13,Planes!BC:BC)=0,"",SUMIF(Planes!BA:BA,'Control de pagos'!A13,Planes!BC:BC)),"")</f>
        <v>1194.0095609941725</v>
      </c>
      <c r="N13" s="66">
        <f t="shared" si="2"/>
        <v>17119.91</v>
      </c>
    </row>
    <row r="14" spans="1:14" ht="15.75" thickBot="1">
      <c r="A14" s="11" t="str">
        <f t="shared" si="1"/>
        <v>O565275 6</v>
      </c>
      <c r="B14" s="3" t="s">
        <v>75</v>
      </c>
      <c r="C14" s="159"/>
      <c r="D14" s="161"/>
      <c r="E14" s="93">
        <v>1533.06</v>
      </c>
      <c r="F14" s="94">
        <v>208.29</v>
      </c>
      <c r="G14" s="93">
        <v>18861.259999999998</v>
      </c>
      <c r="H14" s="95">
        <v>44403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17119.91</v>
      </c>
    </row>
    <row r="15" spans="1:14" ht="15.75" thickBot="1">
      <c r="A15" s="11" t="str">
        <f t="shared" si="1"/>
        <v>O565275 7</v>
      </c>
      <c r="B15" s="3" t="s">
        <v>75</v>
      </c>
      <c r="C15" s="158">
        <v>7</v>
      </c>
      <c r="D15" s="160">
        <v>17616.39</v>
      </c>
      <c r="E15" s="102">
        <v>1036.58</v>
      </c>
      <c r="F15" s="103" t="s">
        <v>88</v>
      </c>
      <c r="G15" s="102">
        <v>18652.97</v>
      </c>
      <c r="H15" s="104">
        <v>44424</v>
      </c>
      <c r="I15" s="41">
        <v>44424</v>
      </c>
      <c r="J15" s="30">
        <f t="shared" si="0"/>
        <v>44409</v>
      </c>
      <c r="L15" s="11">
        <f>IF(I15&lt;&gt;"",IF(SUMIF(Planes!BA:BA,'Control de pagos'!A15,Planes!BC:BC)=0,"",SUMIF(Planes!BA:BA,'Control de pagos'!A15,Planes!BC:BC)),"")</f>
        <v>1228.6361325806292</v>
      </c>
      <c r="N15" s="66">
        <f t="shared" si="2"/>
        <v>17616.39</v>
      </c>
    </row>
    <row r="16" spans="1:14" ht="15.75" thickBot="1">
      <c r="A16" s="11" t="str">
        <f t="shared" si="1"/>
        <v>O565275 7</v>
      </c>
      <c r="B16" s="3" t="s">
        <v>75</v>
      </c>
      <c r="C16" s="159"/>
      <c r="D16" s="161"/>
      <c r="E16" s="93">
        <v>1036.58</v>
      </c>
      <c r="F16" s="94">
        <v>208.29</v>
      </c>
      <c r="G16" s="93">
        <v>18861.259999999998</v>
      </c>
      <c r="H16" s="95">
        <v>44434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17616.39</v>
      </c>
    </row>
    <row r="17" spans="1:14" ht="15.75" thickBot="1">
      <c r="A17" s="11" t="str">
        <f t="shared" si="1"/>
        <v>O565275 8</v>
      </c>
      <c r="B17" s="3" t="s">
        <v>75</v>
      </c>
      <c r="C17" s="158">
        <v>8</v>
      </c>
      <c r="D17" s="160">
        <v>18127.349999999999</v>
      </c>
      <c r="E17" s="103">
        <v>525.62</v>
      </c>
      <c r="F17" s="103" t="s">
        <v>88</v>
      </c>
      <c r="G17" s="102">
        <v>18652.97</v>
      </c>
      <c r="H17" s="104">
        <v>44455</v>
      </c>
      <c r="I17" s="41">
        <v>44455</v>
      </c>
      <c r="J17" s="30">
        <f t="shared" ref="J17:J80" si="3">IF(I17&lt;&gt;"",I17-DAY(I17)+1,IF(A16=A17,IF(I16&lt;&gt;"","-",""),IF(A17=A18,IF(I18&lt;&gt;"","-",""),"")))</f>
        <v>44440</v>
      </c>
      <c r="L17" s="11">
        <f>IF(I17&lt;&gt;"",IF(SUMIF(Planes!BA:BA,'Control de pagos'!A17,Planes!BC:BC)=0,"",SUMIF(Planes!BA:BA,'Control de pagos'!A17,Planes!BC:BC)),"")</f>
        <v>1264.2732632879226</v>
      </c>
      <c r="N17" s="66">
        <f t="shared" si="2"/>
        <v>18127.349999999999</v>
      </c>
    </row>
    <row r="18" spans="1:14" ht="15.75" thickBot="1">
      <c r="A18" s="11" t="str">
        <f t="shared" si="1"/>
        <v>O565275 8</v>
      </c>
      <c r="B18" s="3" t="s">
        <v>75</v>
      </c>
      <c r="C18" s="159"/>
      <c r="D18" s="161"/>
      <c r="E18" s="94">
        <v>525.62</v>
      </c>
      <c r="F18" s="94">
        <v>208.29</v>
      </c>
      <c r="G18" s="93">
        <v>18861.259999999998</v>
      </c>
      <c r="H18" s="95">
        <v>44465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18127.349999999999</v>
      </c>
    </row>
    <row r="19" spans="1:14" ht="15.75" thickBot="1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ht="24.75" thickBot="1">
      <c r="A20" s="11" t="str">
        <f t="shared" si="1"/>
        <v>P782085 Pago a cuenta</v>
      </c>
      <c r="B20" s="3" t="s">
        <v>91</v>
      </c>
      <c r="C20" s="109" t="s">
        <v>94</v>
      </c>
      <c r="D20" s="102">
        <v>69046.83</v>
      </c>
      <c r="E20" s="103" t="s">
        <v>88</v>
      </c>
      <c r="F20" s="103" t="s">
        <v>88</v>
      </c>
      <c r="G20" s="102">
        <v>69046.83</v>
      </c>
      <c r="H20" s="104">
        <v>44607</v>
      </c>
      <c r="I20" s="41">
        <v>44607</v>
      </c>
      <c r="J20" s="30">
        <f t="shared" si="3"/>
        <v>44593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69046.83</v>
      </c>
    </row>
    <row r="21" spans="1:14" ht="15.75" thickBot="1">
      <c r="A21" s="11" t="str">
        <f t="shared" si="1"/>
        <v>P782085 1</v>
      </c>
      <c r="B21" s="3" t="s">
        <v>91</v>
      </c>
      <c r="C21" s="158">
        <v>1</v>
      </c>
      <c r="D21" s="160">
        <v>66896.960000000006</v>
      </c>
      <c r="E21" s="102">
        <v>6587.07</v>
      </c>
      <c r="F21" s="103" t="s">
        <v>88</v>
      </c>
      <c r="G21" s="102">
        <v>73484.03</v>
      </c>
      <c r="H21" s="104">
        <v>44636</v>
      </c>
      <c r="I21" s="41">
        <v>44636</v>
      </c>
      <c r="J21" s="30">
        <f t="shared" si="3"/>
        <v>44621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66896.960000000006</v>
      </c>
    </row>
    <row r="22" spans="1:14" ht="15.75" thickBot="1">
      <c r="A22" s="11" t="str">
        <f t="shared" si="1"/>
        <v>P782085 1</v>
      </c>
      <c r="B22" s="3" t="s">
        <v>91</v>
      </c>
      <c r="C22" s="159"/>
      <c r="D22" s="161"/>
      <c r="E22" s="93">
        <v>6587.07</v>
      </c>
      <c r="F22" s="94">
        <v>820.57</v>
      </c>
      <c r="G22" s="93">
        <v>74304.600000000006</v>
      </c>
      <c r="H22" s="95">
        <v>44646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66896.960000000006</v>
      </c>
    </row>
    <row r="23" spans="1:14" ht="15.75" thickBot="1">
      <c r="A23" s="11" t="str">
        <f t="shared" si="1"/>
        <v>P782085 2</v>
      </c>
      <c r="B23" s="3" t="s">
        <v>91</v>
      </c>
      <c r="C23" s="158">
        <v>2</v>
      </c>
      <c r="D23" s="160">
        <v>69024.28</v>
      </c>
      <c r="E23" s="102">
        <v>4459.75</v>
      </c>
      <c r="F23" s="103" t="s">
        <v>88</v>
      </c>
      <c r="G23" s="102">
        <v>73484.03</v>
      </c>
      <c r="H23" s="104">
        <v>44667</v>
      </c>
      <c r="I23" s="41">
        <v>44667</v>
      </c>
      <c r="J23" s="30">
        <f t="shared" si="3"/>
        <v>44652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69024.28</v>
      </c>
    </row>
    <row r="24" spans="1:14" ht="15.75" thickBot="1">
      <c r="A24" s="11" t="str">
        <f t="shared" si="1"/>
        <v>P782085 2</v>
      </c>
      <c r="B24" s="3" t="s">
        <v>91</v>
      </c>
      <c r="C24" s="159"/>
      <c r="D24" s="161"/>
      <c r="E24" s="93">
        <v>4459.75</v>
      </c>
      <c r="F24" s="94">
        <v>911.2</v>
      </c>
      <c r="G24" s="93">
        <v>74395.23</v>
      </c>
      <c r="H24" s="95">
        <v>44677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69024.28</v>
      </c>
    </row>
    <row r="25" spans="1:14" ht="15.75" thickBot="1">
      <c r="A25" s="11" t="str">
        <f t="shared" si="1"/>
        <v>P782085 3</v>
      </c>
      <c r="B25" s="3" t="s">
        <v>91</v>
      </c>
      <c r="C25" s="158">
        <v>3</v>
      </c>
      <c r="D25" s="160">
        <v>71219.259999999995</v>
      </c>
      <c r="E25" s="102">
        <v>2264.77</v>
      </c>
      <c r="F25" s="103" t="s">
        <v>88</v>
      </c>
      <c r="G25" s="102">
        <v>73484.03</v>
      </c>
      <c r="H25" s="104">
        <v>44697</v>
      </c>
      <c r="I25" s="41">
        <v>44697</v>
      </c>
      <c r="J25" s="30">
        <f t="shared" si="3"/>
        <v>44682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71219.259999999995</v>
      </c>
    </row>
    <row r="26" spans="1:14" ht="15.75" thickBot="1">
      <c r="A26" s="11" t="str">
        <f t="shared" si="1"/>
        <v>P782085 3</v>
      </c>
      <c r="B26" s="3" t="s">
        <v>91</v>
      </c>
      <c r="C26" s="159"/>
      <c r="D26" s="161"/>
      <c r="E26" s="93">
        <v>2264.77</v>
      </c>
      <c r="F26" s="94">
        <v>911.2</v>
      </c>
      <c r="G26" s="93">
        <v>74395.23</v>
      </c>
      <c r="H26" s="95">
        <v>44707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71219.259999999995</v>
      </c>
    </row>
    <row r="27" spans="1:14" ht="15.75" thickBot="1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ht="15.75" thickBot="1">
      <c r="A28" s="11" t="str">
        <f t="shared" si="1"/>
        <v>Q792240 1</v>
      </c>
      <c r="B28" s="33" t="s">
        <v>97</v>
      </c>
      <c r="C28" s="158">
        <v>1</v>
      </c>
      <c r="D28" s="160">
        <v>13478.21</v>
      </c>
      <c r="E28" s="96">
        <v>2295.46</v>
      </c>
      <c r="F28" s="97" t="s">
        <v>88</v>
      </c>
      <c r="G28" s="96">
        <v>15773.67</v>
      </c>
      <c r="H28" s="98">
        <v>44820</v>
      </c>
      <c r="I28" s="41">
        <v>44820</v>
      </c>
      <c r="J28" s="30">
        <f t="shared" si="3"/>
        <v>44805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13478.21</v>
      </c>
    </row>
    <row r="29" spans="1:14" ht="15.75" thickBot="1">
      <c r="A29" s="11" t="str">
        <f t="shared" si="1"/>
        <v>Q792240 1</v>
      </c>
      <c r="B29" s="3" t="s">
        <v>97</v>
      </c>
      <c r="C29" s="159"/>
      <c r="D29" s="161"/>
      <c r="E29" s="93">
        <v>2295.46</v>
      </c>
      <c r="F29" s="94">
        <v>310.74</v>
      </c>
      <c r="G29" s="93">
        <v>16084.41</v>
      </c>
      <c r="H29" s="95">
        <v>44830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13478.21</v>
      </c>
    </row>
    <row r="30" spans="1:14" ht="15.75" thickBot="1">
      <c r="A30" s="11" t="str">
        <f t="shared" si="1"/>
        <v>Q792240 2</v>
      </c>
      <c r="B30" s="3" t="s">
        <v>97</v>
      </c>
      <c r="C30" s="162">
        <v>2</v>
      </c>
      <c r="D30" s="164">
        <v>14018.69</v>
      </c>
      <c r="E30" s="121">
        <v>1754.98</v>
      </c>
      <c r="F30" s="122" t="s">
        <v>88</v>
      </c>
      <c r="G30" s="121">
        <v>15773.67</v>
      </c>
      <c r="H30" s="123">
        <v>44850</v>
      </c>
      <c r="I30" s="41">
        <v>44850</v>
      </c>
      <c r="J30" s="30">
        <f t="shared" si="3"/>
        <v>44835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14018.69</v>
      </c>
    </row>
    <row r="31" spans="1:14" ht="15.75" thickBot="1">
      <c r="A31" s="11" t="str">
        <f t="shared" si="1"/>
        <v>Q792240 2</v>
      </c>
      <c r="B31" s="3" t="s">
        <v>97</v>
      </c>
      <c r="C31" s="163"/>
      <c r="D31" s="165"/>
      <c r="E31" s="93">
        <v>1754.98</v>
      </c>
      <c r="F31" s="94">
        <v>310.74</v>
      </c>
      <c r="G31" s="93">
        <v>16084.41</v>
      </c>
      <c r="H31" s="95">
        <v>44860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14018.69</v>
      </c>
    </row>
    <row r="32" spans="1:14" ht="15.75" thickBot="1">
      <c r="A32" s="11" t="str">
        <f t="shared" si="1"/>
        <v>Q792240 3</v>
      </c>
      <c r="B32" s="3" t="s">
        <v>97</v>
      </c>
      <c r="C32" s="162">
        <v>3</v>
      </c>
      <c r="D32" s="164">
        <v>14580.84</v>
      </c>
      <c r="E32" s="121">
        <v>1192.83</v>
      </c>
      <c r="F32" s="122" t="s">
        <v>88</v>
      </c>
      <c r="G32" s="121">
        <v>15773.67</v>
      </c>
      <c r="H32" s="123">
        <v>44881</v>
      </c>
      <c r="I32" s="41">
        <v>44881</v>
      </c>
      <c r="J32" s="30">
        <f t="shared" si="3"/>
        <v>44866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14580.84</v>
      </c>
    </row>
    <row r="33" spans="1:14" ht="15.75" thickBot="1">
      <c r="A33" s="11" t="str">
        <f t="shared" si="1"/>
        <v>Q792240 3</v>
      </c>
      <c r="B33" s="3" t="s">
        <v>97</v>
      </c>
      <c r="C33" s="163"/>
      <c r="D33" s="165"/>
      <c r="E33" s="93">
        <v>1192.83</v>
      </c>
      <c r="F33" s="94">
        <v>310.74</v>
      </c>
      <c r="G33" s="93">
        <v>16084.41</v>
      </c>
      <c r="H33" s="95">
        <v>44891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14580.84</v>
      </c>
    </row>
    <row r="34" spans="1:14" ht="15.75" thickBot="1">
      <c r="A34" s="11" t="str">
        <f t="shared" si="1"/>
        <v>Q792240 4</v>
      </c>
      <c r="B34" s="3" t="s">
        <v>97</v>
      </c>
      <c r="C34" s="162">
        <v>4</v>
      </c>
      <c r="D34" s="164">
        <v>15165.54</v>
      </c>
      <c r="E34" s="121">
        <v>608.13</v>
      </c>
      <c r="F34" s="122" t="s">
        <v>88</v>
      </c>
      <c r="G34" s="121">
        <v>15773.67</v>
      </c>
      <c r="H34" s="123">
        <v>44911</v>
      </c>
      <c r="I34" s="41">
        <v>44911</v>
      </c>
      <c r="J34" s="30">
        <f t="shared" si="3"/>
        <v>44896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15165.54</v>
      </c>
    </row>
    <row r="35" spans="1:14" ht="15.75" thickBot="1">
      <c r="A35" s="11" t="str">
        <f t="shared" si="1"/>
        <v>Q792240 4</v>
      </c>
      <c r="B35" s="3" t="s">
        <v>97</v>
      </c>
      <c r="C35" s="163"/>
      <c r="D35" s="165"/>
      <c r="E35" s="94">
        <v>608.13</v>
      </c>
      <c r="F35" s="94">
        <v>310.74</v>
      </c>
      <c r="G35" s="93">
        <v>16084.41</v>
      </c>
      <c r="H35" s="95">
        <v>44921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15165.54</v>
      </c>
    </row>
    <row r="36" spans="1:14" ht="15.75" thickBot="1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ht="15.75" thickBot="1">
      <c r="A37" s="11" t="str">
        <f t="shared" si="1"/>
        <v>R286457 1</v>
      </c>
      <c r="B37" s="3" t="s">
        <v>101</v>
      </c>
      <c r="C37" s="158">
        <v>1</v>
      </c>
      <c r="D37" s="160">
        <v>41654.1</v>
      </c>
      <c r="E37" s="96">
        <v>4541.1099999999997</v>
      </c>
      <c r="F37" s="97" t="s">
        <v>88</v>
      </c>
      <c r="G37" s="96">
        <v>46195.21</v>
      </c>
      <c r="H37" s="98">
        <v>45001</v>
      </c>
      <c r="I37" s="41">
        <v>45001</v>
      </c>
      <c r="J37" s="30">
        <f t="shared" si="3"/>
        <v>44986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41654.1</v>
      </c>
    </row>
    <row r="38" spans="1:14" ht="15.75" thickBot="1">
      <c r="A38" s="11" t="str">
        <f t="shared" si="1"/>
        <v>R286457 1</v>
      </c>
      <c r="B38" s="3" t="s">
        <v>101</v>
      </c>
      <c r="C38" s="159"/>
      <c r="D38" s="161"/>
      <c r="E38" s="93">
        <v>4541.1099999999997</v>
      </c>
      <c r="F38" s="94">
        <v>910.05</v>
      </c>
      <c r="G38" s="93">
        <v>47105.26</v>
      </c>
      <c r="H38" s="95">
        <v>45011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41654.1</v>
      </c>
    </row>
    <row r="39" spans="1:14" ht="15.75" thickBot="1">
      <c r="A39" s="11" t="str">
        <f t="shared" si="1"/>
        <v>R286457 2</v>
      </c>
      <c r="B39" s="3" t="s">
        <v>101</v>
      </c>
      <c r="C39" s="162">
        <v>2</v>
      </c>
      <c r="D39" s="164">
        <v>43865.919999999998</v>
      </c>
      <c r="E39" s="121">
        <v>2329.29</v>
      </c>
      <c r="F39" s="122" t="s">
        <v>88</v>
      </c>
      <c r="G39" s="121">
        <v>46195.21</v>
      </c>
      <c r="H39" s="123">
        <v>45032</v>
      </c>
      <c r="I39" s="41">
        <v>45032</v>
      </c>
      <c r="J39" s="30">
        <f t="shared" si="3"/>
        <v>45017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43865.919999999998</v>
      </c>
    </row>
    <row r="40" spans="1:14" ht="15.75" thickBot="1">
      <c r="A40" s="11" t="str">
        <f t="shared" si="1"/>
        <v>R286457 2</v>
      </c>
      <c r="B40" s="3" t="s">
        <v>101</v>
      </c>
      <c r="C40" s="163"/>
      <c r="D40" s="165"/>
      <c r="E40" s="93">
        <v>2329.29</v>
      </c>
      <c r="F40" s="94">
        <v>910.05</v>
      </c>
      <c r="G40" s="93">
        <v>47105.26</v>
      </c>
      <c r="H40" s="95">
        <v>45042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43865.919999999998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5">
    <mergeCell ref="C1:H1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D13:D14"/>
    <mergeCell ref="C15:C16"/>
    <mergeCell ref="D15:D16"/>
    <mergeCell ref="C17:C18"/>
    <mergeCell ref="D17:D18"/>
    <mergeCell ref="C21:C22"/>
    <mergeCell ref="D21:D22"/>
    <mergeCell ref="C23:C24"/>
    <mergeCell ref="D23:D24"/>
    <mergeCell ref="C25:C26"/>
    <mergeCell ref="D25:D26"/>
    <mergeCell ref="C28:C29"/>
    <mergeCell ref="D28:D29"/>
    <mergeCell ref="C30:C31"/>
    <mergeCell ref="D30:D31"/>
    <mergeCell ref="C32:C33"/>
    <mergeCell ref="D32:D33"/>
    <mergeCell ref="C37:C38"/>
    <mergeCell ref="D37:D38"/>
    <mergeCell ref="C39:C40"/>
    <mergeCell ref="D39:D40"/>
    <mergeCell ref="C34:C35"/>
    <mergeCell ref="D34:D35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E15" sqref="E1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90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45047</v>
      </c>
      <c r="C7" s="29">
        <f>SUMIF(SUSS!H:H,'Control de pagos'!K1,SUSS!I:I)</f>
        <v>4326.2582151800016</v>
      </c>
      <c r="D7" s="29">
        <f>'Control de pagos'!K2</f>
        <v>0</v>
      </c>
      <c r="E7" s="42">
        <f>C7+D7</f>
        <v>4326.2582151800016</v>
      </c>
    </row>
    <row r="14" spans="1:5">
      <c r="D14" s="3" t="s">
        <v>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O565275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P782085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Q792240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R286457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2023-06-16T12:37:50Z</dcterms:modified>
</cp:coreProperties>
</file>