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auditoria03\Dropbox\TRABAJO LABORAL\CLIENTES\AGR SERVICIOS S.R.L\NOMINAS\2024\"/>
    </mc:Choice>
  </mc:AlternateContent>
  <xr:revisionPtr revIDLastSave="0" documentId="13_ncr:1_{D67655ED-B83E-485F-99E6-ED600EBF171D}" xr6:coauthVersionLast="47" xr6:coauthVersionMax="47" xr10:uidLastSave="{00000000-0000-0000-0000-000000000000}"/>
  <bookViews>
    <workbookView xWindow="-120" yWindow="-120" windowWidth="20730" windowHeight="11160" tabRatio="567" xr2:uid="{00000000-000D-0000-FFFF-FFFF00000000}"/>
  </bookViews>
  <sheets>
    <sheet name="NOMINA MES" sheetId="1" r:id="rId1"/>
    <sheet name="UOCRA" sheetId="19" state="hidden" r:id="rId2"/>
    <sheet name="CARGAS SOCIALES" sheetId="24" r:id="rId3"/>
    <sheet name="1° SAC" sheetId="25" r:id="rId4"/>
    <sheet name="2º SAC" sheetId="7" r:id="rId5"/>
    <sheet name="VAC 2013" sheetId="8" state="hidden" r:id="rId6"/>
    <sheet name="VAC 2024" sheetId="34" r:id="rId7"/>
    <sheet name="VAC 2023" sheetId="33" r:id="rId8"/>
    <sheet name="VAC 2022" sheetId="32" r:id="rId9"/>
    <sheet name="VAC 2021" sheetId="29" r:id="rId10"/>
    <sheet name="VAC 2020" sheetId="27" r:id="rId11"/>
  </sheets>
  <definedNames>
    <definedName name="_xlnm.Print_Area" localSheetId="4">'2º SAC'!$A$1:$P$8</definedName>
    <definedName name="_xlnm.Print_Area" localSheetId="2">'CARGAS SOCIALES'!$A$1:$AM$21</definedName>
    <definedName name="_xlnm.Print_Area" localSheetId="0">'NOMINA MES'!$A$1:$AN$10</definedName>
    <definedName name="_xlnm.Print_Area" localSheetId="5">'VAC 2013'!$A$1:$I$13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34" l="1"/>
  <c r="N8" i="34"/>
  <c r="P8" i="34" s="1"/>
  <c r="G8" i="34"/>
  <c r="H8" i="34" s="1"/>
  <c r="J8" i="34" s="1"/>
  <c r="D32" i="34" s="1"/>
  <c r="E8" i="34"/>
  <c r="O7" i="34"/>
  <c r="N7" i="34"/>
  <c r="P7" i="34" s="1"/>
  <c r="E7" i="34"/>
  <c r="D7" i="34"/>
  <c r="G7" i="34" s="1"/>
  <c r="H7" i="34" s="1"/>
  <c r="J7" i="34" s="1"/>
  <c r="A1" i="34"/>
  <c r="Q7" i="34" l="1"/>
  <c r="Q8" i="34"/>
  <c r="E7" i="25" l="1"/>
  <c r="U6" i="1" l="1"/>
  <c r="U7" i="1"/>
  <c r="V6" i="1" l="1"/>
  <c r="N6" i="1"/>
  <c r="AD6" i="1" l="1"/>
  <c r="Q6" i="1" l="1"/>
  <c r="W8" i="24" l="1"/>
  <c r="M23" i="24" l="1"/>
  <c r="AE18" i="24" s="1"/>
  <c r="O7" i="27" l="1"/>
  <c r="T6" i="1" l="1"/>
  <c r="O12" i="7" l="1"/>
  <c r="X6" i="24" l="1"/>
  <c r="O8" i="33" l="1"/>
  <c r="N8" i="33"/>
  <c r="G8" i="33"/>
  <c r="H8" i="33" s="1"/>
  <c r="J8" i="33" s="1"/>
  <c r="D27" i="33" s="1"/>
  <c r="E8" i="33"/>
  <c r="O7" i="33"/>
  <c r="N7" i="33"/>
  <c r="E7" i="33"/>
  <c r="D7" i="33"/>
  <c r="G7" i="33" s="1"/>
  <c r="H7" i="33" s="1"/>
  <c r="J7" i="33" s="1"/>
  <c r="A1" i="33"/>
  <c r="Q7" i="33" l="1"/>
  <c r="Q8" i="33"/>
  <c r="P7" i="33"/>
  <c r="P8" i="33"/>
  <c r="V7" i="1" l="1"/>
  <c r="K6" i="1" l="1"/>
  <c r="T5" i="24" l="1"/>
  <c r="V5" i="24"/>
  <c r="U5" i="24"/>
  <c r="S6" i="1"/>
  <c r="T18" i="24"/>
  <c r="J7" i="1"/>
  <c r="K7" i="1" s="1"/>
  <c r="T6" i="24" l="1"/>
  <c r="V6" i="24"/>
  <c r="U6" i="24"/>
  <c r="S7" i="1"/>
  <c r="J16" i="25" l="1"/>
  <c r="E6" i="25" s="1"/>
  <c r="J15" i="25"/>
  <c r="E5" i="25" l="1"/>
  <c r="G4" i="25"/>
  <c r="H4" i="25" s="1"/>
  <c r="I4" i="25" s="1"/>
  <c r="J4" i="25" s="1"/>
  <c r="K4" i="25" s="1"/>
  <c r="N7" i="1" l="1"/>
  <c r="T7" i="1" s="1"/>
  <c r="AL7" i="24" l="1"/>
  <c r="AL6" i="24"/>
  <c r="E1" i="24" l="1"/>
  <c r="O9" i="32" l="1"/>
  <c r="N9" i="32"/>
  <c r="Q9" i="32" s="1"/>
  <c r="G9" i="32"/>
  <c r="H9" i="32" s="1"/>
  <c r="J9" i="32" s="1"/>
  <c r="D25" i="32" s="1"/>
  <c r="E9" i="32"/>
  <c r="O8" i="32"/>
  <c r="N8" i="32"/>
  <c r="G8" i="32"/>
  <c r="H8" i="32" s="1"/>
  <c r="J8" i="32" s="1"/>
  <c r="D24" i="32" s="1"/>
  <c r="E8" i="32"/>
  <c r="O7" i="32"/>
  <c r="N7" i="32"/>
  <c r="E7" i="32"/>
  <c r="D7" i="32"/>
  <c r="G7" i="32" s="1"/>
  <c r="H7" i="32" s="1"/>
  <c r="J7" i="32" s="1"/>
  <c r="D23" i="32" s="1"/>
  <c r="A1" i="32"/>
  <c r="Q7" i="32" l="1"/>
  <c r="Q8" i="32"/>
  <c r="P7" i="32"/>
  <c r="P8" i="32"/>
  <c r="P9" i="32"/>
  <c r="X7" i="24" l="1"/>
  <c r="AC4" i="1" l="1"/>
  <c r="AC6" i="1" s="1"/>
  <c r="AE6" i="1" s="1"/>
  <c r="AC7" i="1" l="1"/>
  <c r="E7" i="7"/>
  <c r="L7" i="7"/>
  <c r="S9" i="1" l="1"/>
  <c r="P5" i="24"/>
  <c r="M7" i="7"/>
  <c r="O7" i="7" s="1"/>
  <c r="G8" i="7"/>
  <c r="H8" i="7"/>
  <c r="I8" i="7"/>
  <c r="J8" i="7"/>
  <c r="K8" i="7"/>
  <c r="F8" i="7"/>
  <c r="A8" i="24" l="1"/>
  <c r="AM9" i="1" l="1"/>
  <c r="X8" i="24" l="1"/>
  <c r="Z8" i="24"/>
  <c r="AL8" i="24"/>
  <c r="AE16" i="24" s="1"/>
  <c r="L7" i="25"/>
  <c r="M7" i="25" s="1"/>
  <c r="Q8" i="1"/>
  <c r="AA8" i="1" s="1"/>
  <c r="AL8" i="1" l="1"/>
  <c r="AN8" i="1" s="1"/>
  <c r="Q7" i="7" s="1"/>
  <c r="L7" i="24"/>
  <c r="Y7" i="24" s="1"/>
  <c r="AQ7" i="24" s="1"/>
  <c r="O7" i="25"/>
  <c r="O9" i="29"/>
  <c r="N9" i="29"/>
  <c r="G9" i="29"/>
  <c r="H9" i="29" s="1"/>
  <c r="J9" i="29" s="1"/>
  <c r="D15" i="29" s="1"/>
  <c r="E9" i="29"/>
  <c r="O8" i="29"/>
  <c r="N8" i="29"/>
  <c r="G8" i="29"/>
  <c r="H8" i="29" s="1"/>
  <c r="J8" i="29" s="1"/>
  <c r="D14" i="29" s="1"/>
  <c r="E8" i="29"/>
  <c r="O7" i="29"/>
  <c r="N7" i="29"/>
  <c r="E7" i="29"/>
  <c r="D7" i="29"/>
  <c r="G7" i="29" s="1"/>
  <c r="H7" i="29" s="1"/>
  <c r="J7" i="29" s="1"/>
  <c r="D13" i="29" s="1"/>
  <c r="A1" i="29"/>
  <c r="O7" i="24" l="1"/>
  <c r="Q9" i="29"/>
  <c r="Q7" i="29"/>
  <c r="Q8" i="29"/>
  <c r="P7" i="29"/>
  <c r="P8" i="29"/>
  <c r="P9" i="29"/>
  <c r="N3" i="24" l="1"/>
  <c r="L5" i="7" l="1"/>
  <c r="R7" i="1"/>
  <c r="R6" i="1"/>
  <c r="T15" i="24" l="1"/>
  <c r="U8" i="24"/>
  <c r="V8" i="24"/>
  <c r="T8" i="24"/>
  <c r="L24" i="27" l="1"/>
  <c r="L25" i="27" s="1"/>
  <c r="K24" i="27"/>
  <c r="K25" i="27" s="1"/>
  <c r="J24" i="27"/>
  <c r="J25" i="27" s="1"/>
  <c r="O9" i="27"/>
  <c r="G9" i="27"/>
  <c r="H9" i="27" s="1"/>
  <c r="J9" i="27" s="1"/>
  <c r="D22" i="27" s="1"/>
  <c r="E9" i="27"/>
  <c r="O8" i="27"/>
  <c r="G8" i="27"/>
  <c r="H8" i="27" s="1"/>
  <c r="J8" i="27" s="1"/>
  <c r="D21" i="27" s="1"/>
  <c r="D38" i="34" s="1"/>
  <c r="E8" i="27"/>
  <c r="E7" i="27"/>
  <c r="D7" i="27"/>
  <c r="G7" i="27" s="1"/>
  <c r="H7" i="27" s="1"/>
  <c r="J7" i="27" s="1"/>
  <c r="D20" i="27" s="1"/>
  <c r="A1" i="27"/>
  <c r="D32" i="33" l="1"/>
  <c r="D37" i="34"/>
  <c r="D21" i="29"/>
  <c r="D33" i="33"/>
  <c r="D31" i="32"/>
  <c r="D22" i="29"/>
  <c r="D32" i="32"/>
  <c r="D20" i="29"/>
  <c r="D30" i="32"/>
  <c r="T14" i="24"/>
  <c r="U14" i="24" s="1"/>
  <c r="H6" i="1" l="1"/>
  <c r="W6" i="1" l="1"/>
  <c r="J27" i="27"/>
  <c r="J28" i="27" s="1"/>
  <c r="N7" i="27" s="1"/>
  <c r="P7" i="27" s="1"/>
  <c r="AB9" i="1"/>
  <c r="AA6" i="1" l="1"/>
  <c r="Q7" i="27"/>
  <c r="S8" i="24"/>
  <c r="AB9" i="24" l="1"/>
  <c r="AA9" i="24"/>
  <c r="AC9" i="24"/>
  <c r="AD9" i="24"/>
  <c r="K6" i="24"/>
  <c r="R9" i="1" l="1"/>
  <c r="M9" i="1"/>
  <c r="L6" i="7" l="1"/>
  <c r="L8" i="7" s="1"/>
  <c r="D6" i="7"/>
  <c r="E6" i="7" s="1"/>
  <c r="M6" i="7" l="1"/>
  <c r="N6" i="7" l="1"/>
  <c r="O6" i="7" s="1"/>
  <c r="L27" i="27" l="1"/>
  <c r="L28" i="27" s="1"/>
  <c r="N9" i="27" s="1"/>
  <c r="P9" i="27" l="1"/>
  <c r="Q9" i="27"/>
  <c r="L6" i="25"/>
  <c r="D6" i="25" l="1"/>
  <c r="M6" i="25" s="1"/>
  <c r="N6" i="25" l="1"/>
  <c r="O6" i="25" s="1"/>
  <c r="K8" i="25"/>
  <c r="J8" i="25"/>
  <c r="I8" i="25"/>
  <c r="H8" i="25"/>
  <c r="G8" i="25"/>
  <c r="F8" i="25"/>
  <c r="L5" i="25"/>
  <c r="M5" i="25" s="1"/>
  <c r="D5" i="25"/>
  <c r="A4" i="25"/>
  <c r="G1" i="25"/>
  <c r="A1" i="25"/>
  <c r="L8" i="25" l="1"/>
  <c r="N5" i="25"/>
  <c r="N8" i="25" s="1"/>
  <c r="Y9" i="1"/>
  <c r="V9" i="1"/>
  <c r="M8" i="25" l="1"/>
  <c r="O5" i="25"/>
  <c r="O8" i="25" s="1"/>
  <c r="Q7" i="1" l="1"/>
  <c r="AD7" i="1" l="1"/>
  <c r="AE7" i="1" s="1"/>
  <c r="U9" i="1"/>
  <c r="T9" i="1"/>
  <c r="H7" i="1"/>
  <c r="K5" i="24"/>
  <c r="W7" i="1" l="1"/>
  <c r="Z9" i="1"/>
  <c r="K27" i="27"/>
  <c r="K28" i="27" s="1"/>
  <c r="N8" i="27" s="1"/>
  <c r="Q8" i="27"/>
  <c r="P8" i="27"/>
  <c r="H6" i="24"/>
  <c r="Q9" i="1"/>
  <c r="M6" i="24"/>
  <c r="D5" i="7"/>
  <c r="E5" i="7" s="1"/>
  <c r="M5" i="7" s="1"/>
  <c r="AA7" i="1" l="1"/>
  <c r="L6" i="24" s="1"/>
  <c r="N6" i="24" s="1"/>
  <c r="W9" i="1"/>
  <c r="V9" i="24"/>
  <c r="Y6" i="24" l="1"/>
  <c r="Q6" i="24"/>
  <c r="AE6" i="24"/>
  <c r="AG6" i="24"/>
  <c r="AJ6" i="24"/>
  <c r="AF6" i="24"/>
  <c r="AK6" i="24"/>
  <c r="R6" i="24"/>
  <c r="AI6" i="24"/>
  <c r="AH6" i="24"/>
  <c r="AK7" i="1" l="1"/>
  <c r="T13" i="24"/>
  <c r="AL7" i="1"/>
  <c r="AN7" i="1" s="1"/>
  <c r="Q6" i="7" s="1"/>
  <c r="M8" i="7"/>
  <c r="AD9" i="1"/>
  <c r="AC9" i="1" l="1"/>
  <c r="N5" i="7"/>
  <c r="N8" i="7" s="1"/>
  <c r="AM6" i="24"/>
  <c r="AE9" i="1" l="1"/>
  <c r="I5" i="24"/>
  <c r="G5" i="24"/>
  <c r="F5" i="24"/>
  <c r="D5" i="24"/>
  <c r="E5" i="24"/>
  <c r="C5" i="24"/>
  <c r="B5" i="24"/>
  <c r="M5" i="24" l="1"/>
  <c r="M8" i="24" s="1"/>
  <c r="AA9" i="1"/>
  <c r="H5" i="24" l="1"/>
  <c r="AN36" i="24"/>
  <c r="A2" i="24"/>
  <c r="A1" i="24"/>
  <c r="L5" i="24" l="1"/>
  <c r="N5" i="24" s="1"/>
  <c r="R5" i="24" l="1"/>
  <c r="Y5" i="24"/>
  <c r="L8" i="24"/>
  <c r="Q5" i="24"/>
  <c r="Q8" i="24" s="1"/>
  <c r="R8" i="24"/>
  <c r="AE5" i="24"/>
  <c r="AE8" i="24" s="1"/>
  <c r="D14" i="24"/>
  <c r="AI5" i="24"/>
  <c r="AI8" i="24" s="1"/>
  <c r="AF5" i="24"/>
  <c r="AF8" i="24" s="1"/>
  <c r="AK5" i="24"/>
  <c r="AK8" i="24" s="1"/>
  <c r="AJ5" i="24"/>
  <c r="AJ8" i="24" s="1"/>
  <c r="AH5" i="24"/>
  <c r="AG5" i="24"/>
  <c r="AG8" i="24" s="1"/>
  <c r="AH8" i="24" l="1"/>
  <c r="AE12" i="24" s="1"/>
  <c r="AK6" i="1"/>
  <c r="AL6" i="1" s="1"/>
  <c r="N8" i="24"/>
  <c r="Y8" i="24"/>
  <c r="AI16" i="24" s="1"/>
  <c r="T12" i="24"/>
  <c r="T9" i="24"/>
  <c r="O5" i="24"/>
  <c r="AA5" i="24" s="1"/>
  <c r="AK9" i="1" l="1"/>
  <c r="AD5" i="24"/>
  <c r="AB5" i="24"/>
  <c r="AC5" i="24"/>
  <c r="X9" i="1"/>
  <c r="AG9" i="1"/>
  <c r="AH9" i="1"/>
  <c r="AI9" i="1"/>
  <c r="AQ5" i="24" l="1"/>
  <c r="D16" i="24"/>
  <c r="A4" i="7" l="1"/>
  <c r="D3" i="19" l="1"/>
  <c r="D7" i="19"/>
  <c r="D11" i="19"/>
  <c r="A1" i="7" l="1"/>
  <c r="O5" i="7" l="1"/>
  <c r="O8" i="7" s="1"/>
  <c r="D12" i="24" l="1"/>
  <c r="O9" i="8" l="1"/>
  <c r="F8" i="8"/>
  <c r="P8" i="8" l="1"/>
  <c r="A1" i="8" l="1"/>
  <c r="A8" i="8"/>
  <c r="B8" i="8"/>
  <c r="C8" i="8"/>
  <c r="D8" i="8"/>
  <c r="H8" i="8" s="1"/>
  <c r="I8" i="8" s="1"/>
  <c r="K8" i="8" s="1"/>
  <c r="E8" i="8"/>
  <c r="O8" i="8"/>
  <c r="Q8" i="8" s="1"/>
  <c r="H9" i="8"/>
  <c r="K9" i="8"/>
  <c r="P9" i="8"/>
  <c r="Q9" i="8" s="1"/>
  <c r="R8" i="8" l="1"/>
  <c r="AI12" i="24" l="1"/>
  <c r="AI14" i="24"/>
  <c r="D15" i="19"/>
  <c r="D2" i="19"/>
  <c r="D10" i="19"/>
  <c r="D5" i="19"/>
  <c r="D12" i="19"/>
  <c r="D6" i="19"/>
  <c r="D16" i="19"/>
  <c r="D9" i="19"/>
  <c r="D14" i="19"/>
  <c r="D17" i="19"/>
  <c r="D8" i="19"/>
  <c r="D4" i="19"/>
  <c r="D13" i="19"/>
  <c r="AN6" i="1" l="1"/>
  <c r="AL9" i="1"/>
  <c r="AM5" i="24"/>
  <c r="AM8" i="24" s="1"/>
  <c r="E18" i="19"/>
  <c r="AN9" i="1" l="1"/>
  <c r="Q5" i="7"/>
  <c r="A2" i="19"/>
  <c r="A3" i="19" s="1"/>
  <c r="A4" i="19" s="1"/>
  <c r="A5" i="19" s="1"/>
  <c r="A6" i="19" s="1"/>
  <c r="A7" i="19" s="1"/>
  <c r="A8" i="19" s="1"/>
  <c r="A9" i="19" s="1"/>
  <c r="A10" i="19" s="1"/>
  <c r="A11" i="19" s="1"/>
  <c r="A12" i="19" s="1"/>
  <c r="A14" i="19"/>
  <c r="A15" i="19" s="1"/>
  <c r="A16" i="19" s="1"/>
  <c r="A17" i="19" s="1"/>
  <c r="O6" i="24"/>
  <c r="O8" i="24" l="1"/>
  <c r="O15" i="24" s="1"/>
  <c r="O17" i="24" s="1"/>
  <c r="AA6" i="24"/>
  <c r="AD6" i="24"/>
  <c r="AA8" i="24"/>
  <c r="AB6" i="24"/>
  <c r="AC6" i="24"/>
  <c r="AQ6" i="24" l="1"/>
  <c r="AC8" i="24"/>
  <c r="AC10" i="24" s="1"/>
  <c r="AB8" i="24"/>
  <c r="AB10" i="24" s="1"/>
  <c r="AD8" i="24"/>
  <c r="AD10" i="24" s="1"/>
  <c r="O19" i="24"/>
  <c r="AA10" i="24"/>
  <c r="AE20" i="24" s="1"/>
  <c r="AE14" i="24" l="1"/>
  <c r="AI18"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impuesto06</author>
    <author>Luffi</author>
    <author>Laboral02</author>
  </authors>
  <commentList>
    <comment ref="AM2" authorId="0" shapeId="0" xr:uid="{00000000-0006-0000-0000-000001000000}">
      <text>
        <r>
          <rPr>
            <b/>
            <sz val="9"/>
            <color indexed="81"/>
            <rFont val="Tahoma"/>
            <family val="2"/>
          </rPr>
          <t>impuesto06:</t>
        </r>
        <r>
          <rPr>
            <sz val="9"/>
            <color indexed="81"/>
            <rFont val="Tahoma"/>
            <family val="2"/>
          </rPr>
          <t xml:space="preserve">
Recibo Adelanto</t>
        </r>
      </text>
    </comment>
    <comment ref="AM3" authorId="0" shapeId="0" xr:uid="{00000000-0006-0000-0000-000002000000}">
      <text>
        <r>
          <rPr>
            <b/>
            <sz val="9"/>
            <color indexed="81"/>
            <rFont val="Tahoma"/>
            <family val="2"/>
          </rPr>
          <t>impuesto06:</t>
        </r>
        <r>
          <rPr>
            <sz val="9"/>
            <color indexed="81"/>
            <rFont val="Tahoma"/>
            <family val="2"/>
          </rPr>
          <t xml:space="preserve">
Recibo Mensual</t>
        </r>
      </text>
    </comment>
    <comment ref="N5" authorId="1" shapeId="0" xr:uid="{00000000-0006-0000-0000-000003000000}">
      <text>
        <r>
          <rPr>
            <b/>
            <sz val="9"/>
            <color indexed="81"/>
            <rFont val="Tahoma"/>
            <family val="2"/>
          </rPr>
          <t xml:space="preserve">350 km minimo por dia por persona
</t>
        </r>
        <r>
          <rPr>
            <sz val="9"/>
            <color indexed="81"/>
            <rFont val="Tahoma"/>
            <family val="2"/>
          </rPr>
          <t xml:space="preserve">
</t>
        </r>
      </text>
    </comment>
    <comment ref="R5" authorId="2" shapeId="0" xr:uid="{00000000-0006-0000-0000-000004000000}">
      <text>
        <r>
          <rPr>
            <b/>
            <sz val="9"/>
            <color indexed="81"/>
            <rFont val="Tahoma"/>
            <family val="2"/>
          </rPr>
          <t>Laboral02:</t>
        </r>
        <r>
          <rPr>
            <sz val="9"/>
            <color indexed="81"/>
            <rFont val="Tahoma"/>
            <family val="2"/>
          </rPr>
          <t xml:space="preserve">
DIA DEL GREMIO TRANSPORTE:
EN DIAS TRABAJADOS PONGO SIEMPRE 29 DIAS. SI LOS TRABAJA POR NOVEDAD CODIGO 059, SI NO LOS TRABAJA POR NOVEDAD 0023. EL CODIGO 059 CALCULA DOS DIAS POR ESO SE PONE 29 EN DIAS TRABAJADOS</t>
        </r>
      </text>
    </comment>
    <comment ref="AB5" authorId="1" shapeId="0" xr:uid="{00000000-0006-0000-0000-000005000000}">
      <text>
        <r>
          <rPr>
            <b/>
            <sz val="9"/>
            <color indexed="81"/>
            <rFont val="Tahoma"/>
            <family val="2"/>
          </rPr>
          <t xml:space="preserve">$25.000 EN 4 CUOTAS. 
FEBRERO
MARZO
ABRIL
MAYO
</t>
        </r>
      </text>
    </comment>
    <comment ref="D6" authorId="1" shapeId="0" xr:uid="{00000000-0006-0000-0000-000006000000}">
      <text>
        <r>
          <rPr>
            <sz val="9"/>
            <color indexed="81"/>
            <rFont val="Tahoma"/>
            <family val="2"/>
          </rPr>
          <t>Accidentado desde 26/08/23</t>
        </r>
      </text>
    </comment>
    <comment ref="W6" authorId="0" shapeId="0" xr:uid="{00000000-0006-0000-0000-000007000000}">
      <text>
        <r>
          <rPr>
            <b/>
            <sz val="9"/>
            <color indexed="81"/>
            <rFont val="Tahoma"/>
            <family val="2"/>
          </rPr>
          <t>impuesto06:</t>
        </r>
        <r>
          <rPr>
            <sz val="9"/>
            <color indexed="81"/>
            <rFont val="Tahoma"/>
            <family val="2"/>
          </rPr>
          <t xml:space="preserve">
Jorge dijo que no tengamos en cuenta la Antigüedad de TPM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Laboral02</author>
    <author>pc16</author>
    <author>impuesto06</author>
    <author>auditoria</author>
    <author>Nela</author>
  </authors>
  <commentList>
    <comment ref="Q3" authorId="0" shapeId="0" xr:uid="{00000000-0006-0000-0200-000001000000}">
      <text>
        <r>
          <rPr>
            <b/>
            <sz val="9"/>
            <color indexed="81"/>
            <rFont val="Tahoma"/>
            <family val="2"/>
          </rPr>
          <t>Laboral02:</t>
        </r>
        <r>
          <rPr>
            <sz val="9"/>
            <color indexed="81"/>
            <rFont val="Tahoma"/>
            <family val="2"/>
          </rPr>
          <t xml:space="preserve">
numero de cuenta:10152
numero de usuario pagina 314127100
clave: victorio78</t>
        </r>
      </text>
    </comment>
    <comment ref="J4" authorId="1" shapeId="0" xr:uid="{00000000-0006-0000-0200-000002000000}">
      <text>
        <r>
          <rPr>
            <b/>
            <u/>
            <sz val="8"/>
            <color indexed="81"/>
            <rFont val="Tahoma"/>
            <family val="2"/>
          </rPr>
          <t>LEY 26940: TITULO II, CAPITULO II</t>
        </r>
        <r>
          <rPr>
            <b/>
            <sz val="8"/>
            <color indexed="81"/>
            <rFont val="Tahoma"/>
            <family val="2"/>
          </rPr>
          <t xml:space="preserve">
NOMINA BASE MARZO 2014 = 0 (no era empleador)
Todos los empleados entran con la reducción por 2 años por ser puestos nuevos.
MODALIDAD 307 primeros 12 meses.
MODALIDAD 310 segundos 12 meses.
</t>
        </r>
      </text>
    </comment>
    <comment ref="T4" authorId="0" shapeId="0" xr:uid="{00000000-0006-0000-0200-000003000000}">
      <text>
        <r>
          <rPr>
            <b/>
            <sz val="9"/>
            <color indexed="81"/>
            <rFont val="Tahoma"/>
            <family val="2"/>
          </rPr>
          <t>Laboral02:</t>
        </r>
        <r>
          <rPr>
            <sz val="9"/>
            <color indexed="81"/>
            <rFont val="Tahoma"/>
            <family val="2"/>
          </rPr>
          <t xml:space="preserve">
se debe incrementar em 1,50 por el aguinaldo</t>
        </r>
      </text>
    </comment>
    <comment ref="U4" authorId="0" shapeId="0" xr:uid="{00000000-0006-0000-0200-000004000000}">
      <text>
        <r>
          <rPr>
            <b/>
            <sz val="9"/>
            <color indexed="81"/>
            <rFont val="Tahoma"/>
            <family val="2"/>
          </rPr>
          <t>Laboral02:</t>
        </r>
        <r>
          <rPr>
            <sz val="9"/>
            <color indexed="81"/>
            <rFont val="Tahoma"/>
            <family val="2"/>
          </rPr>
          <t xml:space="preserve">
se debe incrementar un 1,50  por el SAC</t>
        </r>
      </text>
    </comment>
    <comment ref="V4" authorId="0" shapeId="0" xr:uid="{00000000-0006-0000-0200-000005000000}">
      <text>
        <r>
          <rPr>
            <b/>
            <sz val="9"/>
            <color indexed="81"/>
            <rFont val="Tahoma"/>
            <family val="2"/>
          </rPr>
          <t>Laboral02:</t>
        </r>
        <r>
          <rPr>
            <sz val="9"/>
            <color indexed="81"/>
            <rFont val="Tahoma"/>
            <family val="2"/>
          </rPr>
          <t xml:space="preserve">
se debe incrementar 1,5 por el SAc</t>
        </r>
      </text>
    </comment>
    <comment ref="H5" authorId="2" shapeId="0" xr:uid="{00000000-0006-0000-0200-000006000000}">
      <text>
        <r>
          <rPr>
            <b/>
            <sz val="9"/>
            <color indexed="81"/>
            <rFont val="Tahoma"/>
            <family val="2"/>
          </rPr>
          <t>impuesto06:</t>
        </r>
        <r>
          <rPr>
            <sz val="9"/>
            <color indexed="81"/>
            <rFont val="Tahoma"/>
            <family val="2"/>
          </rPr>
          <t xml:space="preserve">
Jorge dice que no le reconozcamos la antigüedad de TPM</t>
        </r>
      </text>
    </comment>
    <comment ref="AE5" authorId="3" shapeId="0" xr:uid="{00000000-0006-0000-0200-000007000000}">
      <text>
        <r>
          <rPr>
            <b/>
            <sz val="9"/>
            <color indexed="81"/>
            <rFont val="Tahoma"/>
            <family val="2"/>
          </rPr>
          <t>DTO 663/2018: CONTRIBUCION ADICIONAL POR TAREA DIFERENCIAL 2% PARA CONDUCTORES DE VEHICULOS 
DEBIO APLICAR DESDE 09/2018 (PERO SE INICIA DESDE 11/2018)</t>
        </r>
      </text>
    </comment>
    <comment ref="T13" authorId="0" shapeId="0" xr:uid="{00000000-0006-0000-0200-000008000000}">
      <text>
        <r>
          <rPr>
            <b/>
            <sz val="9"/>
            <color indexed="81"/>
            <rFont val="Tahoma"/>
            <family val="2"/>
          </rPr>
          <t>Laboral02:</t>
        </r>
        <r>
          <rPr>
            <sz val="9"/>
            <color indexed="81"/>
            <rFont val="Tahoma"/>
            <family val="2"/>
          </rPr>
          <t xml:space="preserve">
SE COMPLETA DATOS DEL PAGO DE APORTES Y CONTRIBUCIONES OBRA SOCIAL QUE PIDAN EN LA PAGINA</t>
        </r>
      </text>
    </comment>
    <comment ref="U14" authorId="0" shapeId="0" xr:uid="{00000000-0006-0000-0200-000009000000}">
      <text>
        <r>
          <rPr>
            <b/>
            <sz val="9"/>
            <color indexed="81"/>
            <rFont val="Tahoma"/>
            <family val="2"/>
          </rPr>
          <t>Laboral02:</t>
        </r>
        <r>
          <rPr>
            <sz val="9"/>
            <color indexed="81"/>
            <rFont val="Tahoma"/>
            <family val="2"/>
          </rPr>
          <t xml:space="preserve">
SE SUMA EN FEDERACION SANTA FE</t>
        </r>
      </text>
    </comment>
    <comment ref="AE20" authorId="4" shapeId="0" xr:uid="{00000000-0006-0000-0200-00000A000000}">
      <text>
        <r>
          <rPr>
            <b/>
            <sz val="9"/>
            <color indexed="81"/>
            <rFont val="Tahoma"/>
            <family val="2"/>
          </rPr>
          <t>VIGENTE 08/2023 A 12/2024</t>
        </r>
      </text>
    </comment>
    <comment ref="AE23" authorId="4" shapeId="0" xr:uid="{00000000-0006-0000-0200-00000B000000}">
      <text>
        <r>
          <rPr>
            <b/>
            <sz val="9"/>
            <color indexed="81"/>
            <rFont val="Tahoma"/>
            <family val="2"/>
          </rPr>
          <t>COMPLETAR EL IMPORTE</t>
        </r>
      </text>
    </comment>
  </commentList>
</comments>
</file>

<file path=xl/sharedStrings.xml><?xml version="1.0" encoding="utf-8"?>
<sst xmlns="http://schemas.openxmlformats.org/spreadsheetml/2006/main" count="546" uniqueCount="264">
  <si>
    <t>C.U.I.L.</t>
  </si>
  <si>
    <t>Apellido y Nombres</t>
  </si>
  <si>
    <t>SAC</t>
  </si>
  <si>
    <t>Fecha Ingreso</t>
  </si>
  <si>
    <t>Sueldo</t>
  </si>
  <si>
    <t>Nº</t>
  </si>
  <si>
    <t>Leg</t>
  </si>
  <si>
    <t>Antigüedad</t>
  </si>
  <si>
    <t>A.R.T.</t>
  </si>
  <si>
    <t>Contrib. S.S.</t>
  </si>
  <si>
    <t>Obra Social</t>
  </si>
  <si>
    <t>Aporte S.S.</t>
  </si>
  <si>
    <t>Jornada</t>
  </si>
  <si>
    <t>Jubilación</t>
  </si>
  <si>
    <t>Ley 19032</t>
  </si>
  <si>
    <t>Asig. Fliares.</t>
  </si>
  <si>
    <t>F.N.E.</t>
  </si>
  <si>
    <t>Anssal</t>
  </si>
  <si>
    <t>TOTAL</t>
  </si>
  <si>
    <t>Conductor 1º</t>
  </si>
  <si>
    <t>CUIL</t>
  </si>
  <si>
    <t>Apellido y Nombre</t>
  </si>
  <si>
    <t>Fecha de Ingreso</t>
  </si>
  <si>
    <t>Dias Trabajados</t>
  </si>
  <si>
    <t>MAX SUELDO</t>
  </si>
  <si>
    <t>VAC</t>
  </si>
  <si>
    <t>Liq. Final</t>
  </si>
  <si>
    <t>TOTAL DESCUENTOS</t>
  </si>
  <si>
    <t>NETO</t>
  </si>
  <si>
    <t>CATEG.</t>
  </si>
  <si>
    <t>ANTIG</t>
  </si>
  <si>
    <t>Sueldo Básico</t>
  </si>
  <si>
    <t>Día del Gremio</t>
  </si>
  <si>
    <t>Total Sueldos</t>
  </si>
  <si>
    <t>ANR</t>
  </si>
  <si>
    <t>Total ANR</t>
  </si>
  <si>
    <t>SAC Prop</t>
  </si>
  <si>
    <t>VAC Prop</t>
  </si>
  <si>
    <t>Indemnizacion</t>
  </si>
  <si>
    <t>COSTO DE EMISION</t>
  </si>
  <si>
    <t xml:space="preserve"> CAMIONEROS</t>
  </si>
  <si>
    <t>Seguro de Vida</t>
  </si>
  <si>
    <t>Contrib. Solidaria 3% s/ remun</t>
  </si>
  <si>
    <t>Ap. Emp. Act. Cult 0,5% s/bas</t>
  </si>
  <si>
    <t xml:space="preserve"> Aporte Seguridad Social</t>
  </si>
  <si>
    <t>Aporte Obra Social</t>
  </si>
  <si>
    <t>Contribución Seguridad Social</t>
  </si>
  <si>
    <t>Seguro Vida Obligatorio</t>
  </si>
  <si>
    <t>Liq. final</t>
  </si>
  <si>
    <t>TOTALES</t>
  </si>
  <si>
    <t>PLUS VACACIONAL TRANSPORTISTAS</t>
  </si>
  <si>
    <t>x día de VAC</t>
  </si>
  <si>
    <t>Leg. Nº</t>
  </si>
  <si>
    <t>Categoría</t>
  </si>
  <si>
    <t>Sueldo Remun</t>
  </si>
  <si>
    <t>Antig.</t>
  </si>
  <si>
    <t>Días VAC</t>
  </si>
  <si>
    <t>Días tomados</t>
  </si>
  <si>
    <t>Días pendientes</t>
  </si>
  <si>
    <t>Periodo Tomado</t>
  </si>
  <si>
    <t>Retorna al trabajo</t>
  </si>
  <si>
    <t>CALCULO</t>
  </si>
  <si>
    <t>Nro.</t>
  </si>
  <si>
    <t>Desde</t>
  </si>
  <si>
    <t>Hasta</t>
  </si>
  <si>
    <t>Remunerativo</t>
  </si>
  <si>
    <t>No Rem / Plus Vac Cam</t>
  </si>
  <si>
    <t>AP Seguro  Sepelio 1,5% s/ remun</t>
  </si>
  <si>
    <t>ROSALES, DIEGO GASTÓN</t>
  </si>
  <si>
    <t>20-27560743-7</t>
  </si>
  <si>
    <t>OFICIAL ESPECIALIZ.</t>
  </si>
  <si>
    <t>BASE FCL</t>
  </si>
  <si>
    <t>SUELDO NETO</t>
  </si>
  <si>
    <t>20-24635884-3</t>
  </si>
  <si>
    <t xml:space="preserve">SCOLLO, MARTIN MIGUEL  </t>
  </si>
  <si>
    <t>20-36003466-7</t>
  </si>
  <si>
    <t xml:space="preserve">GODOY, GABRIEL EDUARDO    </t>
  </si>
  <si>
    <t>SAC BRUTO</t>
  </si>
  <si>
    <t>SAC    NETO</t>
  </si>
  <si>
    <t>$ FCL</t>
  </si>
  <si>
    <t>Desde 07/2014</t>
  </si>
  <si>
    <t>Desde --/20----</t>
  </si>
  <si>
    <t>VACACIONES   AÑO 2013</t>
  </si>
  <si>
    <t>Día del camionero 15 de Diciembre</t>
  </si>
  <si>
    <t xml:space="preserve">FARIAS, JUAN ANTONIO     </t>
  </si>
  <si>
    <t>20-33427474-9</t>
  </si>
  <si>
    <t>SILVA, MIGUEL ANGEL</t>
  </si>
  <si>
    <t>OCHOA FERNANDO ARIEL</t>
  </si>
  <si>
    <t>20-26512657-0</t>
  </si>
  <si>
    <t>20-35348485-1</t>
  </si>
  <si>
    <t>FURTADO EZEQUIEL</t>
  </si>
  <si>
    <t>20-14372911-8</t>
  </si>
  <si>
    <t>MARTINEZ JUAN CARLOS</t>
  </si>
  <si>
    <t>20-31909184-0</t>
  </si>
  <si>
    <t>GONZALEZ HERNAN</t>
  </si>
  <si>
    <t>20-32983707-7</t>
  </si>
  <si>
    <t>ASTEGHER OCTAVIO MARCELO</t>
  </si>
  <si>
    <t>20-33499281-1</t>
  </si>
  <si>
    <t>20-26512921-9</t>
  </si>
  <si>
    <t>BAIS ANTONIO FABIAN</t>
  </si>
  <si>
    <t>CONGREGADO ALBERTO MARTIN</t>
  </si>
  <si>
    <t>DETTLER NELSON GABRIEL</t>
  </si>
  <si>
    <t>20-39281968-2</t>
  </si>
  <si>
    <t>ALFONSO JOSE NAZARENO</t>
  </si>
  <si>
    <t>20-37677933-6</t>
  </si>
  <si>
    <t>GIORDANO ANDRES FABIAN</t>
  </si>
  <si>
    <t>20-26888678-9</t>
  </si>
  <si>
    <t>QUIROZ ALEJANDRO MATIAS</t>
  </si>
  <si>
    <t>20-37399163-6</t>
  </si>
  <si>
    <t>MUÑOZ MARCOS EDUARDO</t>
  </si>
  <si>
    <t>20-38081356-5</t>
  </si>
  <si>
    <t>AGUILERA LUCAS EMANUEL</t>
  </si>
  <si>
    <t>20-35070473-7</t>
  </si>
  <si>
    <t>APELLIDO Y NOMBRE</t>
  </si>
  <si>
    <t>PARA MANTENER EL MISMO</t>
  </si>
  <si>
    <t>ORDEN QUE APLICATIVO UOCRA</t>
  </si>
  <si>
    <t>Asig. No. Remun</t>
  </si>
  <si>
    <t>Contrib. Pat. Sindical</t>
  </si>
  <si>
    <t>Contrib. Obra Social</t>
  </si>
  <si>
    <t>ORDENAR POR CUIL</t>
  </si>
  <si>
    <t xml:space="preserve">EN JUNIO Y DICIEMBRE </t>
  </si>
  <si>
    <t xml:space="preserve">REM CUOTA SINDICAL Y REM FONDO DE CESE </t>
  </si>
  <si>
    <t>SON DISTINTAS, SINO SIEMPRE IGUAL!!!!!</t>
  </si>
  <si>
    <t>MENDOZA RODRIGO NICOLAS</t>
  </si>
  <si>
    <t>20-40347641-3</t>
  </si>
  <si>
    <t>SINDICATO</t>
  </si>
  <si>
    <t>CAMI</t>
  </si>
  <si>
    <t>Dias</t>
  </si>
  <si>
    <t>DTO REM</t>
  </si>
  <si>
    <t>OJO: CAMIONEROS SE DIVIDE POR 24</t>
  </si>
  <si>
    <t>SE PAGA UN ADICIONAL POR CADA DIA DE VACACIONES GOZADAS(IMPORTE FIJO DADO)</t>
  </si>
  <si>
    <t>MOD. CTTO</t>
  </si>
  <si>
    <t>MNI</t>
  </si>
  <si>
    <t>COND 1°</t>
  </si>
  <si>
    <t>Dias Trab</t>
  </si>
  <si>
    <t>20-17100571-0</t>
  </si>
  <si>
    <t>PIRIZ, DARIO ALBERTO</t>
  </si>
  <si>
    <t>Km</t>
  </si>
  <si>
    <t>Control descarga</t>
  </si>
  <si>
    <t>Permanencia</t>
  </si>
  <si>
    <t>Hs. Ext. Km. Recorr.</t>
  </si>
  <si>
    <t>Simple Presencia</t>
  </si>
  <si>
    <t>Viatico Km. Recorr.</t>
  </si>
  <si>
    <t>Permanencia fuera de residencia</t>
  </si>
  <si>
    <t>Sindicato STA FE</t>
  </si>
  <si>
    <t>Sindicato CORDOBA</t>
  </si>
  <si>
    <t>AGR SERVICIOS S.R.L.</t>
  </si>
  <si>
    <t>CUIT:  30-71595903-4</t>
  </si>
  <si>
    <t>DECRETO 814/2001</t>
  </si>
  <si>
    <t>Remun Imponible</t>
  </si>
  <si>
    <t>Santa Fe - Resto de la Pcia</t>
  </si>
  <si>
    <t>COMPUTABLE</t>
  </si>
  <si>
    <t>Control</t>
  </si>
  <si>
    <t>EN JULIO!!!!!</t>
  </si>
  <si>
    <t>Aporte Empresario 2% s/bas</t>
  </si>
  <si>
    <t>Contrib Res S.T. 96/05 1,5% s/bas</t>
  </si>
  <si>
    <t>CONT. TAREAS DIF.</t>
  </si>
  <si>
    <t>Base Contrib REMUN 10</t>
  </si>
  <si>
    <t>20-25971940-3</t>
  </si>
  <si>
    <t>CELAYES, GERARDO RAMON</t>
  </si>
  <si>
    <t>BASE CALCULO VACACIONES</t>
  </si>
  <si>
    <t>23-13947721-9</t>
  </si>
  <si>
    <t>BERARDO, DARIO ALBERTO</t>
  </si>
  <si>
    <t>Federacion Sta fe</t>
  </si>
  <si>
    <t>Federacion Córdoba</t>
  </si>
  <si>
    <t>CAMI STA FE</t>
  </si>
  <si>
    <t>CAMI CBA</t>
  </si>
  <si>
    <t>COD. 0397</t>
  </si>
  <si>
    <t>A.RT. BONO DTO 665/2019</t>
  </si>
  <si>
    <t>Ley 27541</t>
  </si>
  <si>
    <t>Cuota Afiliación Sindical 1% s/bas 1° CAT</t>
  </si>
  <si>
    <t>Dìa Gremio/Vac</t>
  </si>
  <si>
    <t>ANTICIPO</t>
  </si>
  <si>
    <t>cod 0590</t>
  </si>
  <si>
    <t>cod 0600</t>
  </si>
  <si>
    <t>BRUTO</t>
  </si>
  <si>
    <t>PIRIZ</t>
  </si>
  <si>
    <t>CELAYES</t>
  </si>
  <si>
    <t>BERARDO</t>
  </si>
  <si>
    <t>Promedio</t>
  </si>
  <si>
    <t>BASICO</t>
  </si>
  <si>
    <t xml:space="preserve"> </t>
  </si>
  <si>
    <t>Sueldo Básico p/Sindicato</t>
  </si>
  <si>
    <t>VACACIONES AÑO 2020</t>
  </si>
  <si>
    <t>vacaciones 2021</t>
  </si>
  <si>
    <t>vacaciones 2020</t>
  </si>
  <si>
    <t>VACACIONES AÑO 2021</t>
  </si>
  <si>
    <t>UNA UNICA BOLETA POR LAS 2 PROVINCIAS</t>
  </si>
  <si>
    <t>BONO FIN DE AÑO 3 DE 4</t>
  </si>
  <si>
    <t>PLUS VAC 04/2021</t>
  </si>
  <si>
    <t>CALCULO 2º SAC AÑO 2021</t>
  </si>
  <si>
    <t>27-30985918-4</t>
  </si>
  <si>
    <t>OLDANO MUÑOZ MARGARITA</t>
  </si>
  <si>
    <t>DIRECTOR</t>
  </si>
  <si>
    <t>Fija</t>
  </si>
  <si>
    <t>Alícuota 6,51%</t>
  </si>
  <si>
    <t>vacaciones 2022</t>
  </si>
  <si>
    <t>VACACIONES AÑO 2022</t>
  </si>
  <si>
    <t>Adicional 5% larga distancia</t>
  </si>
  <si>
    <t>cod 167</t>
  </si>
  <si>
    <t>Para disminuir los sac, restamos a los 181 ds del semestre las inasistencia que estuvimos liquidando en el semestre</t>
  </si>
  <si>
    <t>Febrero</t>
  </si>
  <si>
    <t>Marzo</t>
  </si>
  <si>
    <t>Abril</t>
  </si>
  <si>
    <t>Mayo</t>
  </si>
  <si>
    <t>Junio</t>
  </si>
  <si>
    <t>Cantidad de ds descontados en el semestre</t>
  </si>
  <si>
    <t>Total</t>
  </si>
  <si>
    <t>Enero</t>
  </si>
  <si>
    <t>4,2,6</t>
  </si>
  <si>
    <t>4,2,5</t>
  </si>
  <si>
    <t>4,2,3</t>
  </si>
  <si>
    <t>CUIT Agente Ret./Perc.</t>
  </si>
  <si>
    <t>Denominación o Razón Social</t>
  </si>
  <si>
    <t>Impuesto</t>
  </si>
  <si>
    <t>Descripción Impuesto</t>
  </si>
  <si>
    <t>Régimen</t>
  </si>
  <si>
    <t>Descripción Régimen</t>
  </si>
  <si>
    <t>Fecha Ret./Perc.</t>
  </si>
  <si>
    <t>Número Certificado</t>
  </si>
  <si>
    <t>Descripción Operación</t>
  </si>
  <si>
    <t>Importe Ret./Perc.</t>
  </si>
  <si>
    <t>Importe Excedente</t>
  </si>
  <si>
    <t>4,2,4</t>
  </si>
  <si>
    <t>4,2,5 inc a)</t>
  </si>
  <si>
    <t>costo emision JULIO</t>
  </si>
  <si>
    <t>Retenciones</t>
  </si>
  <si>
    <t>Pago a cuenta Dec 394/2023 (IDYC)</t>
  </si>
  <si>
    <t>IMPORTE INFORMADO POR AUDITORIA</t>
  </si>
  <si>
    <t>VEP SIPA 351-154-019</t>
  </si>
  <si>
    <t>EL 30% DEL IMPUESTO A LOS DEB Y CRED DEL MES, CON EL TOPE DEL 15% DE LAS CONTRIBUCIONES DE SEG SOCIAL (SOLO SIPA)</t>
  </si>
  <si>
    <t xml:space="preserve">VEP NO SIPA 351-155-019
</t>
  </si>
  <si>
    <t>VACACIONES AÑO 2023</t>
  </si>
  <si>
    <t>vacaciones 2023</t>
  </si>
  <si>
    <t xml:space="preserve">MARGARITA PIDIO NO AJUSTAR EL SAC </t>
  </si>
  <si>
    <t>correo 03/12/24</t>
  </si>
  <si>
    <t>CS</t>
  </si>
  <si>
    <t>VAC NO REM</t>
  </si>
  <si>
    <t>CONTRIBUCION</t>
  </si>
  <si>
    <t>MARGARITA NO VA A PAGAR EL BONO</t>
  </si>
  <si>
    <t>BANELCO</t>
  </si>
  <si>
    <t>CALCULO 1º SAC AÑO 2024</t>
  </si>
  <si>
    <t>Ok confirmo </t>
  </si>
  <si>
    <t>vacaciones 2024</t>
  </si>
  <si>
    <t>350 km por dia por persona</t>
  </si>
  <si>
    <t>Novedades</t>
  </si>
  <si>
    <t>wsp 02/10</t>
  </si>
  <si>
    <t>[9:23, 2/10/2024] Area Impuestos Mari: Estas de acuerdo asi? cierro el suss?</t>
  </si>
  <si>
    <t>[9:29, 2/10/2024] Margarita Oldano: Si Mari</t>
  </si>
  <si>
    <t>. Solicito descontar a cada chofer 8 dias quedando de bolsillo:</t>
  </si>
  <si>
    <t>Piriz      845.400,-</t>
  </si>
  <si>
    <t>Celayes 839.300.-</t>
  </si>
  <si>
    <t>30700869918</t>
  </si>
  <si>
    <t>BUNGE ARGENTINA S A</t>
  </si>
  <si>
    <t>353</t>
  </si>
  <si>
    <t>RETENCIONES CONTRIBUCIONES DE LA SEGURIDAD SOCIAL</t>
  </si>
  <si>
    <t>755</t>
  </si>
  <si>
    <t>RETENCIÓN GENERAL DE CONTRIBUCIONES</t>
  </si>
  <si>
    <t>28/10/2024</t>
  </si>
  <si>
    <t>3070086991820240000076692</t>
  </si>
  <si>
    <t>RETENCION</t>
  </si>
  <si>
    <t>04/11/2024</t>
  </si>
  <si>
    <t>25/10/2024</t>
  </si>
  <si>
    <t>3070086991820240000076691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</si>
</sst>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 #,##0;[Red]\-&quot;$&quot;\ #,##0"/>
    <numFmt numFmtId="7" formatCode="&quot;$&quot;\ #,##0.00;\-&quot;$&quot;\ #,##0.00"/>
    <numFmt numFmtId="8" formatCode="&quot;$&quot;\ #,##0.00;[Red]\-&quot;$&quot;\ #,##0.00"/>
    <numFmt numFmtId="164" formatCode="&quot;$&quot;\ #,##0.00;&quot;$&quot;\ \-#,##0.00"/>
    <numFmt numFmtId="165" formatCode="&quot;$&quot;\ #,##0.00;[Red]&quot;$&quot;\ \-#,##0.00"/>
    <numFmt numFmtId="166" formatCode="_ &quot;$&quot;\ * #,##0.00_ ;_ &quot;$&quot;\ * \-#,##0.00_ ;_ &quot;$&quot;\ * &quot;-&quot;??_ ;_ @_ "/>
    <numFmt numFmtId="167" formatCode="_ * #,##0.00_ ;_ * \-#,##0.00_ ;_ * &quot;-&quot;??_ ;_ @_ "/>
    <numFmt numFmtId="168" formatCode="&quot;$&quot;#,##0;\-&quot;$&quot;#,##0"/>
    <numFmt numFmtId="169" formatCode="_-&quot;$&quot;* #,##0.00_-;\-&quot;$&quot;* #,##0.00_-;_-&quot;$&quot;* &quot;-&quot;??_-;_-@_-"/>
    <numFmt numFmtId="170" formatCode="#,##0.00\ &quot;$&quot;;\-#,##0.00\ &quot;$&quot;"/>
    <numFmt numFmtId="171" formatCode="#,##0.00\ &quot;$&quot;;[Red]\-#,##0.00\ &quot;$&quot;"/>
    <numFmt numFmtId="172" formatCode="##\-########\-0"/>
    <numFmt numFmtId="173" formatCode="dd\-mm\-yy"/>
    <numFmt numFmtId="174" formatCode="dd\-mm\-yyyy"/>
    <numFmt numFmtId="175" formatCode="000"/>
    <numFmt numFmtId="176" formatCode="00"/>
    <numFmt numFmtId="177" formatCode="_-* #,##0.00\ [$-1]_-;\-* #,##0.00\ [$-1]_-;_-* &quot;-&quot;??\ [$-1]_-"/>
    <numFmt numFmtId="178" formatCode="0000"/>
    <numFmt numFmtId="179" formatCode="_ [$$-2C0A]\ * #,##0.0_ ;_ [$$-2C0A]\ * \-#,##0.0_ ;_ [$$-2C0A]\ * &quot;-&quot;?_ ;_ @_ "/>
    <numFmt numFmtId="180" formatCode="dd/mm/yyyy;@"/>
    <numFmt numFmtId="181" formatCode="&quot;$&quot;\ #,##0.00000;[Red]&quot;$&quot;\ \-#,##0.00000"/>
    <numFmt numFmtId="182" formatCode="#,##0.00_ ;[Red]\-#,##0.00\ "/>
  </numFmts>
  <fonts count="77" x14ac:knownFonts="1">
    <font>
      <sz val="10"/>
      <color indexed="8"/>
      <name val="MS Sans Serif"/>
    </font>
    <font>
      <sz val="10"/>
      <color indexed="8"/>
      <name val="MS Sans Serif"/>
      <family val="2"/>
    </font>
    <font>
      <b/>
      <sz val="9"/>
      <color indexed="8"/>
      <name val="Arial"/>
      <family val="2"/>
    </font>
    <font>
      <sz val="9"/>
      <color indexed="8"/>
      <name val="Arial"/>
      <family val="2"/>
    </font>
    <font>
      <b/>
      <u/>
      <sz val="9"/>
      <color indexed="8"/>
      <name val="Arial"/>
      <family val="2"/>
    </font>
    <font>
      <sz val="10"/>
      <color indexed="8"/>
      <name val="Book Antiqua"/>
      <family val="1"/>
    </font>
    <font>
      <b/>
      <sz val="11"/>
      <color indexed="8"/>
      <name val="Arial"/>
      <family val="2"/>
    </font>
    <font>
      <b/>
      <sz val="8"/>
      <color indexed="8"/>
      <name val="Arial"/>
      <family val="2"/>
    </font>
    <font>
      <b/>
      <u/>
      <sz val="12"/>
      <color indexed="8"/>
      <name val="Calibri"/>
      <family val="2"/>
    </font>
    <font>
      <sz val="10"/>
      <color indexed="8"/>
      <name val="Calibri"/>
      <family val="2"/>
    </font>
    <font>
      <sz val="8"/>
      <color indexed="8"/>
      <name val="Calibri"/>
      <family val="2"/>
    </font>
    <font>
      <sz val="10"/>
      <color indexed="8"/>
      <name val="MS Sans Serif"/>
      <family val="2"/>
    </font>
    <font>
      <sz val="8"/>
      <color indexed="8"/>
      <name val="Arial"/>
      <family val="2"/>
    </font>
    <font>
      <b/>
      <sz val="10"/>
      <color indexed="8"/>
      <name val="Arial"/>
      <family val="2"/>
    </font>
    <font>
      <sz val="9"/>
      <color indexed="8"/>
      <name val="Calibri"/>
      <family val="2"/>
    </font>
    <font>
      <sz val="11"/>
      <color indexed="8"/>
      <name val="Calibri"/>
      <family val="2"/>
    </font>
    <font>
      <sz val="8"/>
      <color indexed="8"/>
      <name val="Calibri"/>
      <family val="2"/>
    </font>
    <font>
      <b/>
      <u/>
      <sz val="18"/>
      <color indexed="8"/>
      <name val="Arial"/>
      <family val="2"/>
    </font>
    <font>
      <b/>
      <sz val="12"/>
      <color indexed="8"/>
      <name val="Arial"/>
      <family val="2"/>
    </font>
    <font>
      <sz val="10"/>
      <color indexed="8"/>
      <name val="Arial"/>
      <family val="2"/>
    </font>
    <font>
      <b/>
      <i/>
      <sz val="10"/>
      <color indexed="8"/>
      <name val="Arial"/>
      <family val="2"/>
    </font>
    <font>
      <b/>
      <sz val="10"/>
      <color indexed="8"/>
      <name val="Arial"/>
      <family val="2"/>
    </font>
    <font>
      <b/>
      <u/>
      <sz val="14"/>
      <color indexed="8"/>
      <name val="Arial"/>
      <family val="2"/>
    </font>
    <font>
      <b/>
      <sz val="9"/>
      <color indexed="8"/>
      <name val="Arial"/>
      <family val="2"/>
    </font>
    <font>
      <sz val="10"/>
      <color indexed="8"/>
      <name val="Arial"/>
      <family val="2"/>
    </font>
    <font>
      <b/>
      <u/>
      <sz val="10"/>
      <color indexed="8"/>
      <name val="Arial"/>
      <family val="2"/>
    </font>
    <font>
      <sz val="12"/>
      <color indexed="8"/>
      <name val="Arial"/>
      <family val="2"/>
    </font>
    <font>
      <b/>
      <u/>
      <sz val="16"/>
      <color indexed="8"/>
      <name val="Arial"/>
      <family val="2"/>
    </font>
    <font>
      <b/>
      <u/>
      <sz val="10"/>
      <color indexed="8"/>
      <name val="Arial"/>
      <family val="2"/>
    </font>
    <font>
      <b/>
      <sz val="14"/>
      <color indexed="8"/>
      <name val="Arial"/>
      <family val="2"/>
    </font>
    <font>
      <b/>
      <sz val="16"/>
      <color indexed="8"/>
      <name val="Arial"/>
      <family val="2"/>
    </font>
    <font>
      <sz val="10"/>
      <color indexed="8"/>
      <name val="Arial"/>
      <family val="2"/>
    </font>
    <font>
      <sz val="8"/>
      <color indexed="8"/>
      <name val="Arial"/>
      <family val="2"/>
    </font>
    <font>
      <b/>
      <u/>
      <sz val="11"/>
      <color indexed="8"/>
      <name val="Arial"/>
      <family val="2"/>
    </font>
    <font>
      <sz val="10"/>
      <color indexed="8"/>
      <name val="Arial"/>
      <family val="2"/>
    </font>
    <font>
      <b/>
      <sz val="16"/>
      <color indexed="8"/>
      <name val="Arial"/>
      <family val="2"/>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1"/>
    </font>
    <font>
      <b/>
      <sz val="15"/>
      <color indexed="62"/>
      <name val="Calibri"/>
      <family val="2"/>
    </font>
    <font>
      <b/>
      <sz val="13"/>
      <color indexed="62"/>
      <name val="Calibri"/>
      <family val="2"/>
    </font>
    <font>
      <b/>
      <sz val="11"/>
      <color indexed="8"/>
      <name val="Calibri"/>
      <family val="2"/>
    </font>
    <font>
      <b/>
      <sz val="10"/>
      <color indexed="10"/>
      <name val="Arial"/>
      <family val="2"/>
    </font>
    <font>
      <b/>
      <sz val="10"/>
      <name val="Arial"/>
      <family val="2"/>
    </font>
    <font>
      <sz val="10"/>
      <name val="Arial"/>
      <family val="2"/>
    </font>
    <font>
      <sz val="10"/>
      <name val="Arial"/>
      <family val="2"/>
    </font>
    <font>
      <b/>
      <sz val="12"/>
      <name val="Arial"/>
      <family val="2"/>
    </font>
    <font>
      <sz val="10"/>
      <name val="Arial"/>
      <family val="2"/>
    </font>
    <font>
      <sz val="10"/>
      <name val="MS Sans Serif"/>
      <family val="2"/>
    </font>
    <font>
      <b/>
      <sz val="10"/>
      <color indexed="8"/>
      <name val="MS Sans Serif"/>
      <family val="2"/>
    </font>
    <font>
      <b/>
      <sz val="9"/>
      <color indexed="81"/>
      <name val="Tahoma"/>
      <family val="2"/>
    </font>
    <font>
      <sz val="9"/>
      <color indexed="81"/>
      <name val="Tahoma"/>
      <family val="2"/>
    </font>
    <font>
      <b/>
      <sz val="11"/>
      <color rgb="FFFF0000"/>
      <name val="Arial"/>
      <family val="2"/>
    </font>
    <font>
      <b/>
      <sz val="18"/>
      <color rgb="FFFF0000"/>
      <name val="MS Sans Serif"/>
      <family val="2"/>
    </font>
    <font>
      <b/>
      <u/>
      <sz val="8"/>
      <color indexed="81"/>
      <name val="Tahoma"/>
      <family val="2"/>
    </font>
    <font>
      <b/>
      <sz val="8"/>
      <color indexed="81"/>
      <name val="Tahoma"/>
      <family val="2"/>
    </font>
    <font>
      <b/>
      <sz val="10"/>
      <color rgb="FFFF0000"/>
      <name val="Arial"/>
      <family val="2"/>
    </font>
    <font>
      <u/>
      <sz val="10"/>
      <color indexed="8"/>
      <name val="Arial"/>
      <family val="2"/>
    </font>
    <font>
      <b/>
      <i/>
      <sz val="10"/>
      <name val="Arial"/>
      <family val="2"/>
    </font>
    <font>
      <sz val="11"/>
      <color indexed="8"/>
      <name val="Arial"/>
      <family val="2"/>
    </font>
    <font>
      <sz val="12"/>
      <name val="Arial"/>
      <family val="2"/>
    </font>
    <font>
      <sz val="12"/>
      <color indexed="8"/>
      <name val="Times New Roman"/>
      <family val="1"/>
    </font>
    <font>
      <b/>
      <u/>
      <sz val="12"/>
      <color indexed="8"/>
      <name val="Times New Roman"/>
      <family val="1"/>
    </font>
    <font>
      <sz val="11"/>
      <color rgb="FFFF0000"/>
      <name val="Arial"/>
      <family val="2"/>
    </font>
    <font>
      <sz val="12"/>
      <color rgb="FF313131"/>
      <name val="Times New Roman"/>
      <family val="1"/>
    </font>
    <font>
      <sz val="11"/>
      <color rgb="FF313131"/>
      <name val="Calibri"/>
      <family val="2"/>
    </font>
  </fonts>
  <fills count="5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7"/>
        <bgColor indexed="64"/>
      </patternFill>
    </fill>
    <fill>
      <patternFill patternType="solid">
        <fgColor indexed="53"/>
        <bgColor indexed="64"/>
      </patternFill>
    </fill>
    <fill>
      <patternFill patternType="solid">
        <fgColor indexed="13"/>
        <bgColor indexed="64"/>
      </patternFill>
    </fill>
    <fill>
      <patternFill patternType="solid">
        <fgColor indexed="44"/>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66FF3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66CC"/>
        <bgColor indexed="64"/>
      </patternFill>
    </fill>
    <fill>
      <patternFill patternType="solid">
        <fgColor rgb="FFFFFF99"/>
        <bgColor indexed="64"/>
      </patternFill>
    </fill>
    <fill>
      <patternFill patternType="solid">
        <fgColor theme="0"/>
        <bgColor indexed="64"/>
      </patternFill>
    </fill>
    <fill>
      <patternFill patternType="solid">
        <fgColor rgb="FFFF99CC"/>
        <bgColor indexed="64"/>
      </patternFill>
    </fill>
    <fill>
      <patternFill patternType="solid">
        <fgColor rgb="FF74F6FC"/>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49998474074526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double">
        <color indexed="64"/>
      </bottom>
      <diagonal/>
    </border>
  </borders>
  <cellStyleXfs count="129">
    <xf numFmtId="0" fontId="0"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3"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6" borderId="0" applyNumberFormat="0" applyBorder="0" applyAlignment="0" applyProtection="0"/>
    <xf numFmtId="0" fontId="36" fillId="4"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8" fillId="6" borderId="0" applyNumberFormat="0" applyBorder="0" applyAlignment="0" applyProtection="0"/>
    <xf numFmtId="0" fontId="39" fillId="11" borderId="1" applyNumberFormat="0" applyAlignment="0" applyProtection="0"/>
    <xf numFmtId="0" fontId="40" fillId="12" borderId="2" applyNumberFormat="0" applyAlignment="0" applyProtection="0"/>
    <xf numFmtId="0" fontId="41" fillId="0" borderId="3" applyNumberFormat="0" applyFill="0" applyAlignment="0" applyProtection="0"/>
    <xf numFmtId="0" fontId="42" fillId="0" borderId="0" applyNumberFormat="0" applyFill="0" applyBorder="0" applyAlignment="0" applyProtection="0"/>
    <xf numFmtId="0" fontId="37" fillId="13"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43" fillId="7" borderId="1" applyNumberFormat="0" applyAlignment="0" applyProtection="0"/>
    <xf numFmtId="177" fontId="19" fillId="0" borderId="0" applyFont="0" applyFill="0" applyBorder="0" applyAlignment="0" applyProtection="0"/>
    <xf numFmtId="0" fontId="44" fillId="17" borderId="0" applyNumberFormat="0" applyBorder="0" applyAlignment="0" applyProtection="0"/>
    <xf numFmtId="40" fontId="1" fillId="0" borderId="0" applyFont="0" applyFill="0" applyBorder="0" applyAlignment="0" applyProtection="0"/>
    <xf numFmtId="178" fontId="31" fillId="0" borderId="0" applyFont="0" applyFill="0" applyBorder="0" applyAlignment="0" applyProtection="0"/>
    <xf numFmtId="167" fontId="36" fillId="0" borderId="0" applyFont="0" applyFill="0" applyBorder="0" applyAlignment="0" applyProtection="0"/>
    <xf numFmtId="171" fontId="34" fillId="0" borderId="0" applyFont="0" applyFill="0" applyBorder="0" applyAlignment="0" applyProtection="0"/>
    <xf numFmtId="6" fontId="1" fillId="0" borderId="0" applyFont="0" applyFill="0" applyBorder="0" applyAlignment="0" applyProtection="0"/>
    <xf numFmtId="166" fontId="19" fillId="0" borderId="0" applyFont="0" applyFill="0" applyBorder="0" applyAlignment="0" applyProtection="0"/>
    <xf numFmtId="179" fontId="1" fillId="0" borderId="0" applyFont="0" applyFill="0" applyBorder="0" applyAlignment="0" applyProtection="0"/>
    <xf numFmtId="168" fontId="1" fillId="0" borderId="0" applyFont="0" applyFill="0" applyBorder="0" applyAlignment="0" applyProtection="0"/>
    <xf numFmtId="180" fontId="31"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70" fontId="34" fillId="0" borderId="0" applyFont="0" applyFill="0" applyBorder="0" applyAlignment="0" applyProtection="0"/>
    <xf numFmtId="0" fontId="45" fillId="7" borderId="0" applyNumberFormat="0" applyBorder="0" applyAlignment="0" applyProtection="0"/>
    <xf numFmtId="0" fontId="3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31" fillId="0" borderId="0"/>
    <xf numFmtId="0" fontId="19" fillId="0" borderId="0"/>
    <xf numFmtId="0" fontId="34" fillId="0" borderId="0"/>
    <xf numFmtId="0" fontId="1" fillId="4" borderId="4" applyNumberFormat="0" applyFont="0" applyAlignment="0" applyProtection="0"/>
    <xf numFmtId="9" fontId="1" fillId="0" borderId="0" applyFont="0" applyFill="0" applyBorder="0" applyAlignment="0" applyProtection="0"/>
    <xf numFmtId="9" fontId="19" fillId="0" borderId="0" applyFont="0" applyFill="0" applyBorder="0" applyAlignment="0" applyProtection="0"/>
    <xf numFmtId="0" fontId="46" fillId="11" borderId="5"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0" borderId="7" applyNumberFormat="0" applyFill="0" applyAlignment="0" applyProtection="0"/>
    <xf numFmtId="0" fontId="42" fillId="0" borderId="8" applyNumberFormat="0" applyFill="0" applyAlignment="0" applyProtection="0"/>
    <xf numFmtId="0" fontId="52" fillId="0" borderId="9" applyNumberFormat="0" applyFill="0" applyAlignment="0" applyProtection="0"/>
    <xf numFmtId="0" fontId="56" fillId="0" borderId="0"/>
    <xf numFmtId="0" fontId="58" fillId="0" borderId="0"/>
    <xf numFmtId="40" fontId="59" fillId="0" borderId="0" applyFont="0" applyFill="0" applyBorder="0" applyAlignment="0" applyProtection="0"/>
    <xf numFmtId="166" fontId="55" fillId="0" borderId="0" applyFont="0" applyFill="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9" fillId="0" borderId="0"/>
    <xf numFmtId="170" fontId="19" fillId="0" borderId="0" applyFont="0" applyFill="0" applyBorder="0" applyAlignment="0" applyProtection="0"/>
    <xf numFmtId="180" fontId="19" fillId="0" borderId="0" applyFont="0" applyFill="0" applyBorder="0" applyAlignment="0" applyProtection="0"/>
    <xf numFmtId="178" fontId="19" fillId="0" borderId="0" applyFont="0" applyFill="0" applyBorder="0" applyAlignment="0" applyProtection="0"/>
    <xf numFmtId="167" fontId="1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7" fontId="15" fillId="0" borderId="0" applyFont="0" applyFill="0" applyBorder="0" applyAlignment="0" applyProtection="0"/>
    <xf numFmtId="180" fontId="19" fillId="0" borderId="0" applyFont="0" applyFill="0" applyBorder="0" applyAlignment="0" applyProtection="0"/>
    <xf numFmtId="170" fontId="19" fillId="0" borderId="0" applyFont="0" applyFill="0" applyBorder="0" applyAlignment="0" applyProtection="0"/>
    <xf numFmtId="0" fontId="19" fillId="0" borderId="0"/>
    <xf numFmtId="0" fontId="15" fillId="4" borderId="0" applyNumberFormat="0" applyBorder="0" applyAlignment="0" applyProtection="0"/>
    <xf numFmtId="0" fontId="19" fillId="0" borderId="0"/>
    <xf numFmtId="0" fontId="15" fillId="6" borderId="0" applyNumberFormat="0" applyBorder="0" applyAlignment="0" applyProtection="0"/>
    <xf numFmtId="0" fontId="19" fillId="0" borderId="0"/>
    <xf numFmtId="0" fontId="15" fillId="8" borderId="0" applyNumberFormat="0" applyBorder="0" applyAlignment="0" applyProtection="0"/>
    <xf numFmtId="0" fontId="15" fillId="7"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41" fillId="0" borderId="0" applyNumberFormat="0" applyFill="0" applyBorder="0" applyAlignment="0" applyProtection="0"/>
    <xf numFmtId="0" fontId="15" fillId="6"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3" borderId="0" applyNumberFormat="0" applyBorder="0" applyAlignment="0" applyProtection="0"/>
    <xf numFmtId="0" fontId="15" fillId="2" borderId="0" applyNumberFormat="0" applyBorder="0" applyAlignment="0" applyProtection="0"/>
    <xf numFmtId="0" fontId="55" fillId="0" borderId="0"/>
    <xf numFmtId="0" fontId="55" fillId="0" borderId="0"/>
    <xf numFmtId="178" fontId="19" fillId="0" borderId="0" applyFont="0" applyFill="0" applyBorder="0" applyAlignment="0" applyProtection="0"/>
    <xf numFmtId="0" fontId="19" fillId="0" borderId="0"/>
    <xf numFmtId="0" fontId="19" fillId="0" borderId="0"/>
    <xf numFmtId="0" fontId="41" fillId="0" borderId="0" applyNumberFormat="0" applyFill="0" applyBorder="0" applyAlignment="0" applyProtection="0"/>
    <xf numFmtId="0" fontId="55" fillId="0" borderId="0"/>
    <xf numFmtId="0" fontId="55" fillId="0" borderId="0"/>
  </cellStyleXfs>
  <cellXfs count="457">
    <xf numFmtId="0" fontId="0" fillId="0" borderId="0" xfId="0"/>
    <xf numFmtId="0" fontId="3" fillId="0" borderId="0" xfId="0" quotePrefix="1" applyFont="1" applyAlignment="1">
      <alignment horizontal="left"/>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Continuous"/>
    </xf>
    <xf numFmtId="2" fontId="3" fillId="0" borderId="0" xfId="0" applyNumberFormat="1" applyFont="1"/>
    <xf numFmtId="4" fontId="3" fillId="0" borderId="0" xfId="0" applyNumberFormat="1" applyFont="1"/>
    <xf numFmtId="0" fontId="2" fillId="0" borderId="0" xfId="0" applyFont="1"/>
    <xf numFmtId="0" fontId="2" fillId="0" borderId="0" xfId="0" applyFont="1" applyAlignment="1">
      <alignment horizontal="center"/>
    </xf>
    <xf numFmtId="0" fontId="1" fillId="0" borderId="0" xfId="0" applyFont="1"/>
    <xf numFmtId="0" fontId="4" fillId="0" borderId="0" xfId="0" applyFont="1" applyAlignment="1">
      <alignment horizontal="left"/>
    </xf>
    <xf numFmtId="0" fontId="5" fillId="0" borderId="0" xfId="0" applyFont="1"/>
    <xf numFmtId="14" fontId="5" fillId="0" borderId="0" xfId="0" applyNumberFormat="1" applyFont="1"/>
    <xf numFmtId="2" fontId="5" fillId="0" borderId="0" xfId="0" applyNumberFormat="1" applyFont="1"/>
    <xf numFmtId="0" fontId="11" fillId="0" borderId="0" xfId="0" applyFont="1"/>
    <xf numFmtId="4" fontId="11" fillId="0" borderId="0" xfId="0" applyNumberFormat="1" applyFont="1"/>
    <xf numFmtId="172" fontId="6" fillId="0" borderId="0" xfId="0" quotePrefix="1" applyNumberFormat="1" applyFont="1" applyAlignment="1">
      <alignment horizontal="left"/>
    </xf>
    <xf numFmtId="0" fontId="6" fillId="0" borderId="0" xfId="0" quotePrefix="1" applyFont="1" applyAlignment="1">
      <alignment horizontal="left"/>
    </xf>
    <xf numFmtId="0" fontId="6" fillId="0" borderId="0" xfId="0" applyFont="1"/>
    <xf numFmtId="0" fontId="12" fillId="0" borderId="0" xfId="0" applyFont="1"/>
    <xf numFmtId="0" fontId="9" fillId="0" borderId="0" xfId="0" applyFont="1"/>
    <xf numFmtId="0" fontId="9" fillId="0" borderId="0" xfId="0" quotePrefix="1" applyFont="1" applyAlignment="1">
      <alignment horizontal="left"/>
    </xf>
    <xf numFmtId="0" fontId="10" fillId="0" borderId="0" xfId="0" applyFont="1"/>
    <xf numFmtId="2" fontId="10" fillId="0" borderId="0" xfId="0" applyNumberFormat="1" applyFont="1"/>
    <xf numFmtId="0" fontId="14" fillId="0" borderId="0" xfId="0" applyFont="1" applyAlignment="1">
      <alignment horizontal="left"/>
    </xf>
    <xf numFmtId="0" fontId="15" fillId="0" borderId="0" xfId="0" applyFont="1" applyAlignment="1">
      <alignment horizontal="left"/>
    </xf>
    <xf numFmtId="14" fontId="14" fillId="0" borderId="0" xfId="0" applyNumberFormat="1" applyFont="1" applyAlignment="1">
      <alignment horizontal="center"/>
    </xf>
    <xf numFmtId="0" fontId="14" fillId="0" borderId="0" xfId="0" applyFont="1" applyAlignment="1">
      <alignment horizontal="center"/>
    </xf>
    <xf numFmtId="0" fontId="16" fillId="0" borderId="0" xfId="0" applyFont="1" applyAlignment="1">
      <alignment horizontal="center"/>
    </xf>
    <xf numFmtId="166" fontId="16" fillId="0" borderId="0" xfId="0" applyNumberFormat="1" applyFont="1" applyAlignment="1">
      <alignment horizontal="center"/>
    </xf>
    <xf numFmtId="2" fontId="16" fillId="0" borderId="0" xfId="0" applyNumberFormat="1" applyFont="1" applyAlignment="1">
      <alignment horizontal="center"/>
    </xf>
    <xf numFmtId="4" fontId="0" fillId="0" borderId="0" xfId="0" applyNumberFormat="1"/>
    <xf numFmtId="0" fontId="17" fillId="0" borderId="0" xfId="0" applyFont="1" applyAlignment="1">
      <alignment horizontal="left"/>
    </xf>
    <xf numFmtId="4" fontId="3" fillId="0" borderId="0" xfId="0" applyNumberFormat="1" applyFont="1" applyAlignment="1">
      <alignment horizontal="right"/>
    </xf>
    <xf numFmtId="0" fontId="19" fillId="0" borderId="0" xfId="0" applyFont="1" applyAlignment="1">
      <alignment horizontal="center" vertical="center"/>
    </xf>
    <xf numFmtId="0" fontId="7" fillId="18" borderId="10"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9" fillId="0" borderId="13" xfId="0" applyFont="1" applyBorder="1" applyAlignment="1">
      <alignment horizontal="center" vertical="center"/>
    </xf>
    <xf numFmtId="172" fontId="19" fillId="0" borderId="14" xfId="0" applyNumberFormat="1" applyFont="1" applyBorder="1" applyAlignment="1">
      <alignment horizontal="center" vertical="center"/>
    </xf>
    <xf numFmtId="0" fontId="19" fillId="0" borderId="13" xfId="0" applyFont="1" applyBorder="1" applyAlignment="1">
      <alignment horizontal="left" vertical="center"/>
    </xf>
    <xf numFmtId="3" fontId="19" fillId="0" borderId="13" xfId="0" applyNumberFormat="1" applyFont="1" applyBorder="1" applyAlignment="1">
      <alignment horizontal="center" vertical="center"/>
    </xf>
    <xf numFmtId="4" fontId="19" fillId="0" borderId="10" xfId="0" applyNumberFormat="1" applyFont="1" applyBorder="1" applyAlignment="1">
      <alignment vertical="center"/>
    </xf>
    <xf numFmtId="4" fontId="19" fillId="0" borderId="13" xfId="0" applyNumberFormat="1" applyFont="1" applyBorder="1" applyAlignment="1">
      <alignment vertical="center"/>
    </xf>
    <xf numFmtId="0" fontId="19" fillId="0" borderId="0" xfId="0" applyFont="1" applyAlignment="1">
      <alignment vertical="center"/>
    </xf>
    <xf numFmtId="4" fontId="3" fillId="0" borderId="0" xfId="0" applyNumberFormat="1" applyFont="1" applyAlignment="1">
      <alignment vertical="center"/>
    </xf>
    <xf numFmtId="172" fontId="19" fillId="0" borderId="10" xfId="0" applyNumberFormat="1" applyFont="1" applyBorder="1" applyAlignment="1">
      <alignment horizontal="center" vertical="center"/>
    </xf>
    <xf numFmtId="0" fontId="19" fillId="0" borderId="10" xfId="0" applyFont="1" applyBorder="1" applyAlignment="1">
      <alignment horizontal="left" vertical="center"/>
    </xf>
    <xf numFmtId="4" fontId="21" fillId="23" borderId="10" xfId="0" applyNumberFormat="1" applyFont="1" applyFill="1" applyBorder="1" applyAlignment="1">
      <alignment vertical="center"/>
    </xf>
    <xf numFmtId="0" fontId="19" fillId="0" borderId="0" xfId="0" applyFont="1"/>
    <xf numFmtId="0" fontId="53" fillId="0" borderId="0" xfId="0" applyFont="1" applyAlignment="1">
      <alignment horizontal="center" vertical="center"/>
    </xf>
    <xf numFmtId="4" fontId="21" fillId="0" borderId="10" xfId="0" applyNumberFormat="1" applyFont="1" applyBorder="1" applyAlignment="1">
      <alignment vertical="center"/>
    </xf>
    <xf numFmtId="4" fontId="24" fillId="0" borderId="10" xfId="0" applyNumberFormat="1" applyFont="1" applyBorder="1" applyAlignment="1">
      <alignment vertical="center"/>
    </xf>
    <xf numFmtId="2" fontId="11" fillId="0" borderId="0" xfId="0" applyNumberFormat="1" applyFont="1"/>
    <xf numFmtId="0" fontId="12" fillId="0" borderId="0" xfId="0" applyFont="1" applyAlignment="1">
      <alignment horizontal="left"/>
    </xf>
    <xf numFmtId="4" fontId="12" fillId="0" borderId="0" xfId="0" applyNumberFormat="1" applyFont="1"/>
    <xf numFmtId="0" fontId="18" fillId="0" borderId="0" xfId="0" applyFont="1" applyAlignment="1">
      <alignment horizontal="right" vertical="center"/>
    </xf>
    <xf numFmtId="0" fontId="17" fillId="0" borderId="0" xfId="0" applyFont="1"/>
    <xf numFmtId="0" fontId="8" fillId="0" borderId="0" xfId="0" applyFont="1"/>
    <xf numFmtId="0" fontId="19" fillId="19" borderId="10" xfId="0" applyFont="1" applyFill="1" applyBorder="1" applyAlignment="1">
      <alignment horizontal="center" vertical="center"/>
    </xf>
    <xf numFmtId="17" fontId="19" fillId="19" borderId="10" xfId="0" applyNumberFormat="1" applyFont="1" applyFill="1" applyBorder="1" applyAlignment="1">
      <alignment horizontal="center" vertical="center" wrapText="1"/>
    </xf>
    <xf numFmtId="14" fontId="21" fillId="0" borderId="0" xfId="0" applyNumberFormat="1" applyFont="1" applyAlignment="1">
      <alignment horizontal="center" vertical="center"/>
    </xf>
    <xf numFmtId="4" fontId="19" fillId="0" borderId="0" xfId="0" applyNumberFormat="1" applyFont="1" applyAlignment="1">
      <alignment vertical="center"/>
    </xf>
    <xf numFmtId="4" fontId="21" fillId="20" borderId="10" xfId="0" applyNumberFormat="1" applyFont="1" applyFill="1" applyBorder="1" applyAlignment="1">
      <alignment horizontal="center" vertical="center"/>
    </xf>
    <xf numFmtId="0" fontId="26" fillId="0" borderId="0" xfId="0" applyFont="1" applyAlignment="1">
      <alignment horizontal="center" vertical="center"/>
    </xf>
    <xf numFmtId="0" fontId="5" fillId="0" borderId="0" xfId="0" applyFont="1" applyAlignment="1">
      <alignment horizontal="left"/>
    </xf>
    <xf numFmtId="0" fontId="19" fillId="0" borderId="18" xfId="47" applyFont="1" applyBorder="1" applyAlignment="1">
      <alignment vertical="center"/>
    </xf>
    <xf numFmtId="0" fontId="19" fillId="0" borderId="0" xfId="47" applyFont="1" applyAlignment="1">
      <alignment horizontal="right" vertical="center"/>
    </xf>
    <xf numFmtId="0" fontId="19" fillId="0" borderId="0" xfId="47" applyFont="1" applyAlignment="1">
      <alignment vertical="center"/>
    </xf>
    <xf numFmtId="0" fontId="19" fillId="0" borderId="19" xfId="47" applyFont="1" applyBorder="1" applyAlignment="1">
      <alignment vertical="center"/>
    </xf>
    <xf numFmtId="0" fontId="9" fillId="0" borderId="0" xfId="0" applyFont="1" applyAlignment="1">
      <alignment horizontal="center"/>
    </xf>
    <xf numFmtId="14" fontId="9" fillId="0" borderId="0" xfId="0" applyNumberFormat="1" applyFont="1" applyAlignment="1">
      <alignment horizontal="center"/>
    </xf>
    <xf numFmtId="0" fontId="19" fillId="0" borderId="20" xfId="47" applyFont="1" applyBorder="1" applyAlignment="1">
      <alignment vertical="center"/>
    </xf>
    <xf numFmtId="0" fontId="19" fillId="0" borderId="21" xfId="47" applyFont="1" applyBorder="1" applyAlignment="1">
      <alignment horizontal="right" vertical="center"/>
    </xf>
    <xf numFmtId="0" fontId="19" fillId="0" borderId="21" xfId="47" applyFont="1" applyBorder="1" applyAlignment="1">
      <alignment vertical="center"/>
    </xf>
    <xf numFmtId="0" fontId="19" fillId="0" borderId="22" xfId="47" applyFont="1" applyBorder="1" applyAlignment="1">
      <alignment vertical="center"/>
    </xf>
    <xf numFmtId="0" fontId="3" fillId="0" borderId="21" xfId="47" applyFont="1" applyBorder="1" applyAlignment="1">
      <alignment horizontal="right" vertical="center"/>
    </xf>
    <xf numFmtId="0" fontId="1" fillId="0" borderId="0" xfId="47" applyAlignment="1">
      <alignment vertical="center"/>
    </xf>
    <xf numFmtId="0" fontId="21" fillId="19" borderId="10" xfId="47" applyFont="1" applyFill="1" applyBorder="1" applyAlignment="1">
      <alignment horizontal="center" vertical="center"/>
    </xf>
    <xf numFmtId="0" fontId="2" fillId="19" borderId="10" xfId="47" applyFont="1" applyFill="1" applyBorder="1" applyAlignment="1">
      <alignment horizontal="center" vertical="center"/>
    </xf>
    <xf numFmtId="0" fontId="2" fillId="19" borderId="23" xfId="47" applyFont="1" applyFill="1" applyBorder="1" applyAlignment="1">
      <alignment horizontal="center" vertical="center" wrapText="1"/>
    </xf>
    <xf numFmtId="175" fontId="21" fillId="0" borderId="10" xfId="0" applyNumberFormat="1" applyFont="1" applyBorder="1" applyAlignment="1">
      <alignment horizontal="center" vertical="center"/>
    </xf>
    <xf numFmtId="4" fontId="19" fillId="0" borderId="10" xfId="0" applyNumberFormat="1" applyFont="1" applyBorder="1" applyAlignment="1">
      <alignment horizontal="center" vertical="center"/>
    </xf>
    <xf numFmtId="4" fontId="19" fillId="0" borderId="10" xfId="47" applyNumberFormat="1" applyFont="1" applyBorder="1" applyAlignment="1">
      <alignment horizontal="center" vertical="center"/>
    </xf>
    <xf numFmtId="176" fontId="19" fillId="0" borderId="10" xfId="47" applyNumberFormat="1" applyFont="1" applyBorder="1" applyAlignment="1">
      <alignment horizontal="center" vertical="center"/>
    </xf>
    <xf numFmtId="0" fontId="21" fillId="19" borderId="12" xfId="47" applyFont="1" applyFill="1" applyBorder="1" applyAlignment="1">
      <alignment horizontal="center" vertical="center"/>
    </xf>
    <xf numFmtId="3" fontId="19" fillId="0" borderId="10" xfId="47" applyNumberFormat="1" applyFont="1" applyBorder="1" applyAlignment="1">
      <alignment horizontal="center" vertical="center"/>
    </xf>
    <xf numFmtId="174" fontId="19" fillId="0" borderId="10" xfId="47" applyNumberFormat="1" applyFont="1" applyBorder="1" applyAlignment="1">
      <alignment horizontal="center" vertical="center"/>
    </xf>
    <xf numFmtId="4" fontId="21" fillId="0" borderId="12" xfId="47" applyNumberFormat="1" applyFont="1" applyBorder="1" applyAlignment="1">
      <alignment vertical="center"/>
    </xf>
    <xf numFmtId="4" fontId="21" fillId="24" borderId="12" xfId="47" applyNumberFormat="1" applyFont="1" applyFill="1" applyBorder="1" applyAlignment="1">
      <alignment vertical="center"/>
    </xf>
    <xf numFmtId="14" fontId="19" fillId="0" borderId="10" xfId="0" applyNumberFormat="1" applyFont="1" applyBorder="1" applyAlignment="1">
      <alignment horizontal="center" vertical="center"/>
    </xf>
    <xf numFmtId="17" fontId="21" fillId="18" borderId="10" xfId="0" applyNumberFormat="1" applyFont="1" applyFill="1" applyBorder="1" applyAlignment="1">
      <alignment horizontal="center" vertical="center"/>
    </xf>
    <xf numFmtId="17" fontId="29" fillId="0" borderId="0" xfId="0" applyNumberFormat="1" applyFont="1" applyAlignment="1">
      <alignment vertical="center"/>
    </xf>
    <xf numFmtId="40" fontId="21" fillId="23" borderId="10" xfId="33" applyFont="1" applyFill="1" applyBorder="1" applyAlignment="1">
      <alignment horizontal="center" vertical="center"/>
    </xf>
    <xf numFmtId="0" fontId="6" fillId="18" borderId="10" xfId="0" applyFont="1" applyFill="1" applyBorder="1" applyAlignment="1">
      <alignment horizontal="center" vertical="center" wrapText="1"/>
    </xf>
    <xf numFmtId="0" fontId="35" fillId="0" borderId="0" xfId="0" quotePrefix="1" applyFont="1"/>
    <xf numFmtId="4" fontId="32" fillId="0" borderId="10" xfId="0" applyNumberFormat="1" applyFont="1" applyBorder="1" applyAlignment="1">
      <alignment horizontal="center" vertical="center" wrapText="1"/>
    </xf>
    <xf numFmtId="40" fontId="19" fillId="0" borderId="10" xfId="33" applyFont="1" applyFill="1" applyBorder="1" applyAlignment="1">
      <alignment horizontal="center" vertical="center"/>
    </xf>
    <xf numFmtId="0" fontId="19" fillId="0" borderId="21" xfId="0" applyFont="1" applyBorder="1" applyAlignment="1">
      <alignment vertical="center"/>
    </xf>
    <xf numFmtId="17" fontId="30" fillId="24" borderId="16" xfId="0" applyNumberFormat="1" applyFont="1" applyFill="1" applyBorder="1" applyAlignment="1">
      <alignment horizontal="center" vertical="center"/>
    </xf>
    <xf numFmtId="38" fontId="19" fillId="0" borderId="10" xfId="33" applyNumberFormat="1" applyFont="1" applyFill="1" applyBorder="1" applyAlignment="1">
      <alignment horizontal="center" vertical="center"/>
    </xf>
    <xf numFmtId="0" fontId="22" fillId="0" borderId="0" xfId="0" applyFont="1"/>
    <xf numFmtId="14" fontId="21" fillId="0" borderId="10" xfId="0" applyNumberFormat="1" applyFont="1" applyBorder="1" applyAlignment="1">
      <alignment horizontal="center" vertical="center"/>
    </xf>
    <xf numFmtId="40" fontId="19" fillId="0" borderId="0" xfId="33" applyFont="1" applyFill="1" applyBorder="1" applyAlignment="1">
      <alignment horizontal="left"/>
    </xf>
    <xf numFmtId="0" fontId="53" fillId="0" borderId="0" xfId="0" applyFont="1" applyAlignment="1">
      <alignment horizontal="center" vertical="center" wrapText="1"/>
    </xf>
    <xf numFmtId="3" fontId="19" fillId="29" borderId="10" xfId="0" applyNumberFormat="1" applyFont="1" applyFill="1" applyBorder="1" applyAlignment="1">
      <alignment horizontal="center" vertical="center"/>
    </xf>
    <xf numFmtId="4" fontId="21" fillId="35" borderId="10" xfId="0" applyNumberFormat="1" applyFont="1" applyFill="1" applyBorder="1" applyAlignment="1">
      <alignment vertical="center"/>
    </xf>
    <xf numFmtId="4" fontId="21" fillId="34" borderId="10" xfId="0" applyNumberFormat="1" applyFont="1" applyFill="1" applyBorder="1" applyAlignment="1">
      <alignment horizontal="center" vertical="center"/>
    </xf>
    <xf numFmtId="4" fontId="21" fillId="35" borderId="10" xfId="0" applyNumberFormat="1" applyFont="1" applyFill="1" applyBorder="1" applyAlignment="1">
      <alignment horizontal="center" vertical="center"/>
    </xf>
    <xf numFmtId="17" fontId="13" fillId="34" borderId="10" xfId="0" applyNumberFormat="1" applyFont="1" applyFill="1" applyBorder="1" applyAlignment="1">
      <alignment horizontal="center" vertical="center" wrapText="1"/>
    </xf>
    <xf numFmtId="0" fontId="13" fillId="35" borderId="10" xfId="0" applyFont="1" applyFill="1" applyBorder="1" applyAlignment="1">
      <alignment horizontal="center" vertical="center" wrapText="1"/>
    </xf>
    <xf numFmtId="0" fontId="6" fillId="39" borderId="10" xfId="0" applyFont="1" applyFill="1" applyBorder="1" applyAlignment="1">
      <alignment horizontal="center" vertical="center" wrapText="1"/>
    </xf>
    <xf numFmtId="0" fontId="7" fillId="0" borderId="0" xfId="0" applyFont="1"/>
    <xf numFmtId="40" fontId="12" fillId="0" borderId="0" xfId="33" applyFont="1" applyFill="1" applyBorder="1" applyAlignment="1">
      <alignment horizontal="left"/>
    </xf>
    <xf numFmtId="0" fontId="13" fillId="26" borderId="10" xfId="0" applyFont="1" applyFill="1" applyBorder="1" applyAlignment="1">
      <alignment horizontal="center" vertical="center" wrapText="1"/>
    </xf>
    <xf numFmtId="0" fontId="13" fillId="26" borderId="17" xfId="0" applyFont="1" applyFill="1" applyBorder="1" applyAlignment="1">
      <alignment horizontal="center" vertical="center" wrapText="1"/>
    </xf>
    <xf numFmtId="8" fontId="21" fillId="23" borderId="10" xfId="37" applyNumberFormat="1" applyFont="1" applyFill="1" applyBorder="1" applyAlignment="1">
      <alignment vertical="center"/>
    </xf>
    <xf numFmtId="0" fontId="19" fillId="34" borderId="10" xfId="0" applyFont="1" applyFill="1" applyBorder="1" applyAlignment="1">
      <alignment horizontal="left" vertical="center"/>
    </xf>
    <xf numFmtId="14" fontId="19" fillId="34" borderId="10" xfId="0" applyNumberFormat="1" applyFont="1" applyFill="1" applyBorder="1" applyAlignment="1">
      <alignment horizontal="center" vertical="center"/>
    </xf>
    <xf numFmtId="4" fontId="19" fillId="34" borderId="10" xfId="0" applyNumberFormat="1" applyFont="1" applyFill="1" applyBorder="1" applyAlignment="1">
      <alignment horizontal="center" vertical="center"/>
    </xf>
    <xf numFmtId="0" fontId="21" fillId="34" borderId="12" xfId="47" applyFont="1" applyFill="1" applyBorder="1" applyAlignment="1">
      <alignment horizontal="center" vertical="center"/>
    </xf>
    <xf numFmtId="0" fontId="30" fillId="0" borderId="0" xfId="0" applyFont="1"/>
    <xf numFmtId="0" fontId="13" fillId="27" borderId="10" xfId="0" applyFont="1" applyFill="1" applyBorder="1" applyAlignment="1">
      <alignment horizontal="center"/>
    </xf>
    <xf numFmtId="4" fontId="20" fillId="42" borderId="10" xfId="0" applyNumberFormat="1" applyFont="1" applyFill="1" applyBorder="1" applyAlignment="1">
      <alignment vertical="center"/>
    </xf>
    <xf numFmtId="0" fontId="21" fillId="42" borderId="10" xfId="0" applyFont="1" applyFill="1" applyBorder="1" applyAlignment="1">
      <alignment horizontal="center" vertical="center"/>
    </xf>
    <xf numFmtId="172" fontId="21" fillId="42" borderId="10" xfId="0" applyNumberFormat="1" applyFont="1" applyFill="1" applyBorder="1" applyAlignment="1">
      <alignment horizontal="center" vertical="center"/>
    </xf>
    <xf numFmtId="0" fontId="21" fillId="42" borderId="10" xfId="0" applyFont="1" applyFill="1" applyBorder="1" applyAlignment="1">
      <alignment horizontal="left" vertical="center"/>
    </xf>
    <xf numFmtId="14" fontId="21" fillId="42" borderId="11" xfId="0" applyNumberFormat="1" applyFont="1" applyFill="1" applyBorder="1" applyAlignment="1">
      <alignment horizontal="center" vertical="center"/>
    </xf>
    <xf numFmtId="3" fontId="54" fillId="42" borderId="10" xfId="0" applyNumberFormat="1" applyFont="1" applyFill="1" applyBorder="1" applyAlignment="1">
      <alignment horizontal="center" vertical="center"/>
    </xf>
    <xf numFmtId="3" fontId="21" fillId="42" borderId="10" xfId="0" applyNumberFormat="1" applyFont="1" applyFill="1" applyBorder="1" applyAlignment="1">
      <alignment horizontal="center" vertical="center"/>
    </xf>
    <xf numFmtId="174" fontId="19" fillId="40" borderId="10" xfId="47" applyNumberFormat="1" applyFont="1" applyFill="1" applyBorder="1" applyAlignment="1">
      <alignment horizontal="center" vertical="center"/>
    </xf>
    <xf numFmtId="4" fontId="21" fillId="40" borderId="12" xfId="47" applyNumberFormat="1" applyFont="1" applyFill="1" applyBorder="1" applyAlignment="1">
      <alignment vertical="center"/>
    </xf>
    <xf numFmtId="174" fontId="19" fillId="41" borderId="10" xfId="47" applyNumberFormat="1" applyFont="1" applyFill="1" applyBorder="1" applyAlignment="1">
      <alignment horizontal="center" vertical="center"/>
    </xf>
    <xf numFmtId="4" fontId="21" fillId="41" borderId="12" xfId="47" applyNumberFormat="1" applyFont="1" applyFill="1" applyBorder="1" applyAlignment="1">
      <alignment vertical="center"/>
    </xf>
    <xf numFmtId="3" fontId="19" fillId="33" borderId="10" xfId="47" applyNumberFormat="1" applyFont="1" applyFill="1" applyBorder="1" applyAlignment="1">
      <alignment horizontal="center" vertical="center"/>
    </xf>
    <xf numFmtId="4" fontId="32" fillId="41" borderId="10" xfId="0" applyNumberFormat="1" applyFont="1" applyFill="1" applyBorder="1" applyAlignment="1">
      <alignment horizontal="center" vertical="center" wrapText="1"/>
    </xf>
    <xf numFmtId="3" fontId="21" fillId="43" borderId="10" xfId="47" applyNumberFormat="1" applyFont="1" applyFill="1" applyBorder="1" applyAlignment="1">
      <alignment horizontal="center" vertical="center"/>
    </xf>
    <xf numFmtId="3" fontId="21" fillId="43" borderId="25" xfId="47" applyNumberFormat="1" applyFont="1" applyFill="1" applyBorder="1" applyAlignment="1">
      <alignment horizontal="center" vertical="center"/>
    </xf>
    <xf numFmtId="0" fontId="18" fillId="18" borderId="10" xfId="0" applyFont="1" applyFill="1" applyBorder="1" applyAlignment="1">
      <alignment horizontal="center" vertical="center" wrapText="1"/>
    </xf>
    <xf numFmtId="0" fontId="13" fillId="18" borderId="12" xfId="0" applyFont="1" applyFill="1" applyBorder="1" applyAlignment="1">
      <alignment horizontal="center" vertical="center" wrapText="1"/>
    </xf>
    <xf numFmtId="0" fontId="2" fillId="40" borderId="10" xfId="0" applyFont="1" applyFill="1" applyBorder="1" applyAlignment="1">
      <alignment horizontal="center" vertical="center" wrapText="1"/>
    </xf>
    <xf numFmtId="0" fontId="2" fillId="40" borderId="17" xfId="0" applyFont="1" applyFill="1" applyBorder="1" applyAlignment="1">
      <alignment horizontal="center" vertical="center" wrapText="1"/>
    </xf>
    <xf numFmtId="4" fontId="21" fillId="44" borderId="10" xfId="0" applyNumberFormat="1" applyFont="1" applyFill="1" applyBorder="1" applyAlignment="1">
      <alignment horizontal="center" vertical="center"/>
    </xf>
    <xf numFmtId="4" fontId="19" fillId="34" borderId="10" xfId="0" applyNumberFormat="1" applyFont="1" applyFill="1" applyBorder="1" applyAlignment="1">
      <alignment horizontal="right" vertical="center"/>
    </xf>
    <xf numFmtId="4" fontId="26" fillId="0" borderId="0" xfId="0" applyNumberFormat="1" applyFont="1" applyAlignment="1">
      <alignment horizontal="center" vertical="center"/>
    </xf>
    <xf numFmtId="4" fontId="5" fillId="0" borderId="0" xfId="0" applyNumberFormat="1" applyFont="1"/>
    <xf numFmtId="0" fontId="19" fillId="0" borderId="10" xfId="0" applyFont="1" applyBorder="1" applyAlignment="1">
      <alignment horizontal="center" vertical="center"/>
    </xf>
    <xf numFmtId="4" fontId="19" fillId="45" borderId="10" xfId="0" applyNumberFormat="1" applyFont="1" applyFill="1" applyBorder="1" applyAlignment="1">
      <alignment horizontal="right" vertical="center"/>
    </xf>
    <xf numFmtId="0" fontId="13" fillId="0" borderId="16" xfId="47" applyFont="1" applyBorder="1" applyAlignment="1">
      <alignment horizontal="center" vertical="center"/>
    </xf>
    <xf numFmtId="40" fontId="18" fillId="39" borderId="10" xfId="33" applyFont="1" applyFill="1" applyBorder="1"/>
    <xf numFmtId="0" fontId="12" fillId="0" borderId="29" xfId="0" applyFont="1" applyBorder="1"/>
    <xf numFmtId="0" fontId="12" fillId="0" borderId="30" xfId="0" applyFont="1" applyBorder="1"/>
    <xf numFmtId="0" fontId="12" fillId="0" borderId="28" xfId="0" applyFont="1" applyBorder="1"/>
    <xf numFmtId="4" fontId="1" fillId="0" borderId="0" xfId="0" applyNumberFormat="1" applyFont="1"/>
    <xf numFmtId="4" fontId="18" fillId="22" borderId="16" xfId="37" applyNumberFormat="1" applyFont="1" applyFill="1" applyBorder="1" applyAlignment="1">
      <alignment vertical="center"/>
    </xf>
    <xf numFmtId="0" fontId="13" fillId="0" borderId="0" xfId="0" applyFont="1" applyAlignment="1">
      <alignment horizontal="right" vertical="center"/>
    </xf>
    <xf numFmtId="0" fontId="1" fillId="0" borderId="18" xfId="0" applyFont="1" applyBorder="1"/>
    <xf numFmtId="0" fontId="3" fillId="0" borderId="19" xfId="0" applyFont="1" applyBorder="1" applyAlignment="1">
      <alignment horizontal="center" vertical="center"/>
    </xf>
    <xf numFmtId="0" fontId="13" fillId="0" borderId="0" xfId="0" applyFont="1" applyAlignment="1">
      <alignment vertical="center"/>
    </xf>
    <xf numFmtId="0" fontId="1" fillId="0" borderId="20" xfId="0" applyFont="1" applyBorder="1"/>
    <xf numFmtId="0" fontId="1" fillId="0" borderId="22" xfId="0" applyFont="1" applyBorder="1"/>
    <xf numFmtId="0" fontId="19" fillId="45" borderId="10" xfId="0" applyFont="1" applyFill="1" applyBorder="1" applyAlignment="1">
      <alignment horizontal="center" vertical="center"/>
    </xf>
    <xf numFmtId="0" fontId="19" fillId="33" borderId="10" xfId="62" applyFont="1" applyFill="1" applyBorder="1" applyAlignment="1">
      <alignment vertical="center"/>
    </xf>
    <xf numFmtId="172" fontId="19" fillId="33" borderId="10" xfId="0" applyNumberFormat="1" applyFont="1" applyFill="1" applyBorder="1" applyAlignment="1">
      <alignment horizontal="center" vertical="center"/>
    </xf>
    <xf numFmtId="0" fontId="55" fillId="33" borderId="10" xfId="0" applyFont="1" applyFill="1" applyBorder="1" applyAlignment="1">
      <alignment vertical="center"/>
    </xf>
    <xf numFmtId="40" fontId="19" fillId="33" borderId="10" xfId="33" applyFont="1" applyFill="1" applyBorder="1"/>
    <xf numFmtId="172" fontId="19" fillId="33" borderId="14" xfId="0" applyNumberFormat="1" applyFont="1" applyFill="1" applyBorder="1" applyAlignment="1">
      <alignment horizontal="center" vertical="center"/>
    </xf>
    <xf numFmtId="0" fontId="19" fillId="33" borderId="13" xfId="0" applyFont="1" applyFill="1" applyBorder="1" applyAlignment="1">
      <alignment horizontal="left" vertical="center"/>
    </xf>
    <xf numFmtId="0" fontId="19" fillId="37" borderId="10" xfId="62" applyFont="1" applyFill="1" applyBorder="1" applyAlignment="1">
      <alignment vertical="center"/>
    </xf>
    <xf numFmtId="172" fontId="19" fillId="37" borderId="10" xfId="0" applyNumberFormat="1" applyFont="1" applyFill="1" applyBorder="1" applyAlignment="1">
      <alignment horizontal="center" vertical="center"/>
    </xf>
    <xf numFmtId="0" fontId="55" fillId="37" borderId="10" xfId="0" applyFont="1" applyFill="1" applyBorder="1" applyAlignment="1">
      <alignment vertical="center"/>
    </xf>
    <xf numFmtId="40" fontId="55" fillId="37" borderId="10" xfId="33" applyFont="1" applyFill="1" applyBorder="1"/>
    <xf numFmtId="40" fontId="19" fillId="37" borderId="10" xfId="33" applyFont="1" applyFill="1" applyBorder="1"/>
    <xf numFmtId="0" fontId="13" fillId="0" borderId="13" xfId="0" applyFont="1" applyBorder="1" applyAlignment="1">
      <alignment horizontal="center" vertical="center"/>
    </xf>
    <xf numFmtId="4" fontId="55" fillId="0" borderId="10" xfId="0" applyNumberFormat="1" applyFont="1" applyBorder="1" applyAlignment="1">
      <alignment horizontal="right" vertical="center"/>
    </xf>
    <xf numFmtId="4" fontId="12" fillId="0" borderId="0" xfId="0" applyNumberFormat="1" applyFont="1" applyAlignment="1">
      <alignment horizontal="left"/>
    </xf>
    <xf numFmtId="0" fontId="21" fillId="42" borderId="11" xfId="0" applyFont="1" applyFill="1" applyBorder="1" applyAlignment="1">
      <alignment horizontal="center" vertical="center"/>
    </xf>
    <xf numFmtId="0" fontId="19" fillId="40" borderId="10" xfId="0" applyFont="1" applyFill="1" applyBorder="1" applyAlignment="1">
      <alignment horizontal="center" vertical="center"/>
    </xf>
    <xf numFmtId="17" fontId="30" fillId="0" borderId="0" xfId="0" applyNumberFormat="1" applyFont="1" applyAlignment="1">
      <alignment horizontal="center" vertical="center"/>
    </xf>
    <xf numFmtId="0" fontId="25" fillId="0" borderId="0" xfId="0" applyFont="1"/>
    <xf numFmtId="4" fontId="13" fillId="0" borderId="0" xfId="0" applyNumberFormat="1" applyFont="1"/>
    <xf numFmtId="4" fontId="33" fillId="0" borderId="0" xfId="0" applyNumberFormat="1" applyFont="1"/>
    <xf numFmtId="14" fontId="19" fillId="0" borderId="13" xfId="0" applyNumberFormat="1" applyFont="1" applyBorder="1" applyAlignment="1">
      <alignment horizontal="center" vertical="center"/>
    </xf>
    <xf numFmtId="0" fontId="30" fillId="0" borderId="0" xfId="0" quotePrefix="1" applyFont="1"/>
    <xf numFmtId="0" fontId="2" fillId="25" borderId="10" xfId="0" applyFont="1" applyFill="1" applyBorder="1" applyAlignment="1">
      <alignment horizontal="center" vertical="center" wrapText="1"/>
    </xf>
    <xf numFmtId="14" fontId="55" fillId="0" borderId="15" xfId="0" applyNumberFormat="1" applyFont="1" applyBorder="1" applyAlignment="1">
      <alignment horizontal="center" vertical="center"/>
    </xf>
    <xf numFmtId="2" fontId="0" fillId="0" borderId="0" xfId="0" applyNumberFormat="1"/>
    <xf numFmtId="4" fontId="21" fillId="46" borderId="10" xfId="0" applyNumberFormat="1" applyFont="1" applyFill="1" applyBorder="1" applyAlignment="1">
      <alignment vertical="center"/>
    </xf>
    <xf numFmtId="4" fontId="19" fillId="0" borderId="0" xfId="0" applyNumberFormat="1" applyFont="1"/>
    <xf numFmtId="0" fontId="1" fillId="0" borderId="0" xfId="0" applyFont="1" applyAlignment="1">
      <alignment horizontal="center"/>
    </xf>
    <xf numFmtId="17" fontId="13" fillId="33" borderId="10" xfId="0" applyNumberFormat="1" applyFont="1" applyFill="1" applyBorder="1" applyAlignment="1">
      <alignment horizontal="center" vertical="center" wrapText="1"/>
    </xf>
    <xf numFmtId="0" fontId="13" fillId="19" borderId="10" xfId="0" applyFont="1" applyFill="1" applyBorder="1" applyAlignment="1">
      <alignment horizontal="center" vertical="center" wrapText="1"/>
    </xf>
    <xf numFmtId="0" fontId="63" fillId="0" borderId="0" xfId="0" applyFont="1"/>
    <xf numFmtId="0" fontId="2" fillId="47" borderId="10" xfId="0" applyFont="1" applyFill="1" applyBorder="1" applyAlignment="1">
      <alignment horizontal="center" vertical="center" wrapText="1"/>
    </xf>
    <xf numFmtId="0" fontId="0" fillId="30" borderId="26" xfId="0" applyFill="1" applyBorder="1"/>
    <xf numFmtId="0" fontId="0" fillId="30" borderId="24" xfId="0" applyFill="1" applyBorder="1"/>
    <xf numFmtId="0" fontId="64" fillId="30" borderId="31" xfId="0" applyFont="1" applyFill="1" applyBorder="1"/>
    <xf numFmtId="0" fontId="64" fillId="30" borderId="26" xfId="0" applyFont="1" applyFill="1" applyBorder="1"/>
    <xf numFmtId="0" fontId="64" fillId="30" borderId="24" xfId="0" applyFont="1" applyFill="1" applyBorder="1"/>
    <xf numFmtId="0" fontId="13" fillId="24" borderId="10" xfId="0" applyFont="1" applyFill="1" applyBorder="1" applyAlignment="1">
      <alignment horizontal="center" vertical="center" wrapText="1"/>
    </xf>
    <xf numFmtId="0" fontId="13" fillId="24" borderId="17" xfId="0" applyFont="1" applyFill="1" applyBorder="1" applyAlignment="1">
      <alignment horizontal="center" vertical="center" wrapText="1"/>
    </xf>
    <xf numFmtId="0" fontId="13" fillId="24" borderId="11" xfId="0" applyFont="1" applyFill="1" applyBorder="1" applyAlignment="1">
      <alignment horizontal="center" vertical="center" wrapText="1"/>
    </xf>
    <xf numFmtId="0" fontId="2" fillId="29" borderId="10" xfId="0" applyFont="1" applyFill="1" applyBorder="1" applyAlignment="1">
      <alignment horizontal="center" vertical="center" wrapText="1"/>
    </xf>
    <xf numFmtId="4" fontId="67" fillId="0" borderId="0" xfId="0" applyNumberFormat="1" applyFont="1" applyAlignment="1">
      <alignment vertical="center"/>
    </xf>
    <xf numFmtId="0" fontId="19" fillId="36" borderId="13" xfId="0" applyFont="1" applyFill="1" applyBorder="1" applyAlignment="1">
      <alignment horizontal="center" vertical="center"/>
    </xf>
    <xf numFmtId="4" fontId="21" fillId="36" borderId="10" xfId="0" applyNumberFormat="1" applyFont="1" applyFill="1" applyBorder="1" applyAlignment="1">
      <alignment vertical="center"/>
    </xf>
    <xf numFmtId="0" fontId="57" fillId="0" borderId="0" xfId="0" applyFont="1" applyAlignment="1">
      <alignment vertical="center"/>
    </xf>
    <xf numFmtId="4" fontId="13" fillId="23" borderId="10" xfId="0" applyNumberFormat="1" applyFont="1" applyFill="1" applyBorder="1" applyAlignment="1">
      <alignment vertical="center"/>
    </xf>
    <xf numFmtId="3" fontId="19" fillId="29" borderId="13" xfId="0" applyNumberFormat="1" applyFont="1" applyFill="1" applyBorder="1" applyAlignment="1">
      <alignment horizontal="center" vertical="center"/>
    </xf>
    <xf numFmtId="4" fontId="25" fillId="0" borderId="0" xfId="0" applyNumberFormat="1" applyFont="1" applyAlignment="1">
      <alignment vertical="center"/>
    </xf>
    <xf numFmtId="4" fontId="67" fillId="21" borderId="10" xfId="0" applyNumberFormat="1" applyFont="1" applyFill="1" applyBorder="1" applyAlignment="1">
      <alignment vertical="center"/>
    </xf>
    <xf numFmtId="0" fontId="3" fillId="21" borderId="17" xfId="0" applyFont="1" applyFill="1" applyBorder="1" applyAlignment="1">
      <alignment horizontal="center" vertical="center"/>
    </xf>
    <xf numFmtId="0" fontId="3" fillId="21" borderId="10" xfId="0" applyFont="1" applyFill="1" applyBorder="1" applyAlignment="1">
      <alignment horizontal="center" vertical="center"/>
    </xf>
    <xf numFmtId="181" fontId="13" fillId="29" borderId="10" xfId="0" applyNumberFormat="1" applyFont="1" applyFill="1" applyBorder="1" applyAlignment="1">
      <alignment horizontal="center" vertical="center"/>
    </xf>
    <xf numFmtId="165" fontId="13" fillId="29" borderId="10" xfId="0" applyNumberFormat="1" applyFont="1" applyFill="1" applyBorder="1" applyAlignment="1">
      <alignment horizontal="center" vertical="center"/>
    </xf>
    <xf numFmtId="0" fontId="28" fillId="0" borderId="30" xfId="47" applyFont="1" applyBorder="1" applyAlignment="1">
      <alignment vertical="center"/>
    </xf>
    <xf numFmtId="0" fontId="28" fillId="0" borderId="0" xfId="47" applyFont="1" applyAlignment="1">
      <alignment vertical="center"/>
    </xf>
    <xf numFmtId="4" fontId="24" fillId="39" borderId="10" xfId="0" applyNumberFormat="1" applyFont="1" applyFill="1" applyBorder="1" applyAlignment="1">
      <alignment horizontal="right" vertical="center"/>
    </xf>
    <xf numFmtId="4" fontId="25" fillId="0" borderId="0" xfId="47" applyNumberFormat="1" applyFont="1" applyAlignment="1">
      <alignment vertical="center"/>
    </xf>
    <xf numFmtId="4" fontId="19" fillId="0" borderId="0" xfId="47" applyNumberFormat="1" applyFont="1" applyAlignment="1">
      <alignment vertical="center"/>
    </xf>
    <xf numFmtId="0" fontId="19" fillId="0" borderId="33" xfId="47" applyFont="1" applyBorder="1" applyAlignment="1">
      <alignment vertical="center"/>
    </xf>
    <xf numFmtId="0" fontId="13" fillId="0" borderId="0" xfId="47" applyFont="1" applyAlignment="1">
      <alignment vertical="center"/>
    </xf>
    <xf numFmtId="2" fontId="13" fillId="0" borderId="0" xfId="47" applyNumberFormat="1" applyFont="1" applyAlignment="1">
      <alignment vertical="center"/>
    </xf>
    <xf numFmtId="0" fontId="68" fillId="0" borderId="0" xfId="47" applyFont="1" applyAlignment="1">
      <alignment vertical="center"/>
    </xf>
    <xf numFmtId="0" fontId="19" fillId="30" borderId="0" xfId="47" applyFont="1" applyFill="1" applyAlignment="1">
      <alignment vertical="center"/>
    </xf>
    <xf numFmtId="4" fontId="19" fillId="30" borderId="0" xfId="47" applyNumberFormat="1" applyFont="1" applyFill="1" applyAlignment="1">
      <alignment vertical="center"/>
    </xf>
    <xf numFmtId="181" fontId="13" fillId="49" borderId="10" xfId="0" applyNumberFormat="1" applyFont="1" applyFill="1" applyBorder="1" applyAlignment="1">
      <alignment horizontal="center" vertical="center"/>
    </xf>
    <xf numFmtId="164" fontId="13" fillId="49" borderId="10" xfId="0" applyNumberFormat="1" applyFont="1" applyFill="1" applyBorder="1" applyAlignment="1">
      <alignment horizontal="center" vertical="center"/>
    </xf>
    <xf numFmtId="165" fontId="13" fillId="49" borderId="10" xfId="0" applyNumberFormat="1" applyFont="1" applyFill="1" applyBorder="1" applyAlignment="1">
      <alignment horizontal="center" vertical="center"/>
    </xf>
    <xf numFmtId="172" fontId="19" fillId="0" borderId="11" xfId="0" applyNumberFormat="1" applyFont="1" applyBorder="1" applyAlignment="1">
      <alignment horizontal="center" vertical="center"/>
    </xf>
    <xf numFmtId="14" fontId="55" fillId="0" borderId="27" xfId="0" applyNumberFormat="1" applyFont="1" applyBorder="1" applyAlignment="1">
      <alignment horizontal="center" vertical="center"/>
    </xf>
    <xf numFmtId="4" fontId="13" fillId="18" borderId="10" xfId="0" applyNumberFormat="1" applyFont="1" applyFill="1" applyBorder="1" applyAlignment="1">
      <alignment vertical="center"/>
    </xf>
    <xf numFmtId="4" fontId="13" fillId="46" borderId="10" xfId="0" applyNumberFormat="1" applyFont="1" applyFill="1" applyBorder="1" applyAlignment="1">
      <alignment vertical="center"/>
    </xf>
    <xf numFmtId="14" fontId="19" fillId="0" borderId="14" xfId="0" applyNumberFormat="1" applyFont="1" applyBorder="1" applyAlignment="1">
      <alignment horizontal="center" vertical="center"/>
    </xf>
    <xf numFmtId="172" fontId="19" fillId="0" borderId="0" xfId="0" applyNumberFormat="1" applyFont="1" applyAlignment="1">
      <alignment horizontal="center" vertical="center"/>
    </xf>
    <xf numFmtId="0" fontId="19" fillId="0" borderId="0" xfId="0" applyFont="1" applyAlignment="1">
      <alignment horizontal="left" vertical="center"/>
    </xf>
    <xf numFmtId="14" fontId="55" fillId="0" borderId="0" xfId="0" applyNumberFormat="1" applyFont="1" applyAlignment="1">
      <alignment horizontal="center" vertical="center"/>
    </xf>
    <xf numFmtId="4" fontId="19" fillId="0" borderId="0" xfId="47" applyNumberFormat="1" applyFont="1" applyAlignment="1">
      <alignment horizontal="center" vertical="center"/>
    </xf>
    <xf numFmtId="176" fontId="19" fillId="0" borderId="0" xfId="47" applyNumberFormat="1" applyFont="1" applyAlignment="1">
      <alignment horizontal="center" vertical="center"/>
    </xf>
    <xf numFmtId="3" fontId="19" fillId="0" borderId="0" xfId="47" applyNumberFormat="1" applyFont="1" applyAlignment="1">
      <alignment horizontal="center" vertical="center"/>
    </xf>
    <xf numFmtId="174" fontId="19" fillId="0" borderId="0" xfId="47" applyNumberFormat="1" applyFont="1" applyAlignment="1">
      <alignment horizontal="center" vertical="center"/>
    </xf>
    <xf numFmtId="4" fontId="21" fillId="0" borderId="0" xfId="47" applyNumberFormat="1" applyFont="1" applyAlignment="1">
      <alignment vertical="center"/>
    </xf>
    <xf numFmtId="0" fontId="21" fillId="0" borderId="0" xfId="47" applyFont="1" applyAlignment="1">
      <alignment horizontal="center" vertical="center"/>
    </xf>
    <xf numFmtId="3" fontId="21" fillId="0" borderId="0" xfId="47" applyNumberFormat="1" applyFont="1" applyAlignment="1">
      <alignment horizontal="center" vertical="center"/>
    </xf>
    <xf numFmtId="14" fontId="55" fillId="0" borderId="10" xfId="0" applyNumberFormat="1" applyFont="1" applyBorder="1" applyAlignment="1">
      <alignment horizontal="center" vertical="center"/>
    </xf>
    <xf numFmtId="17" fontId="0" fillId="0" borderId="0" xfId="0" applyNumberFormat="1"/>
    <xf numFmtId="4" fontId="24" fillId="29" borderId="10" xfId="0" applyNumberFormat="1" applyFont="1" applyFill="1" applyBorder="1" applyAlignment="1">
      <alignment horizontal="right" vertical="center"/>
    </xf>
    <xf numFmtId="0" fontId="19" fillId="29" borderId="14" xfId="0" applyFont="1" applyFill="1" applyBorder="1" applyAlignment="1">
      <alignment horizontal="center" vertical="center"/>
    </xf>
    <xf numFmtId="0" fontId="19" fillId="39" borderId="13" xfId="0" applyFont="1" applyFill="1" applyBorder="1" applyAlignment="1">
      <alignment horizontal="center" vertical="center"/>
    </xf>
    <xf numFmtId="0" fontId="3" fillId="0" borderId="10" xfId="0" applyFont="1" applyBorder="1" applyAlignment="1">
      <alignment horizontal="left" vertical="center"/>
    </xf>
    <xf numFmtId="0" fontId="3" fillId="0" borderId="10" xfId="0" applyFont="1" applyBorder="1"/>
    <xf numFmtId="0" fontId="67" fillId="0" borderId="0" xfId="0" applyFont="1" applyAlignment="1">
      <alignment horizontal="center" vertical="center"/>
    </xf>
    <xf numFmtId="0" fontId="13" fillId="23" borderId="10" xfId="0" applyFont="1" applyFill="1" applyBorder="1" applyAlignment="1">
      <alignment horizontal="center" vertical="center"/>
    </xf>
    <xf numFmtId="4" fontId="13" fillId="0" borderId="0" xfId="0" applyNumberFormat="1" applyFont="1" applyAlignment="1">
      <alignment horizontal="right" vertical="center"/>
    </xf>
    <xf numFmtId="4" fontId="13" fillId="0" borderId="10" xfId="0" applyNumberFormat="1" applyFont="1" applyBorder="1" applyAlignment="1">
      <alignment vertical="center"/>
    </xf>
    <xf numFmtId="0" fontId="4" fillId="0" borderId="0" xfId="0" applyFont="1" applyAlignment="1">
      <alignment vertical="center"/>
    </xf>
    <xf numFmtId="0" fontId="19" fillId="0" borderId="0" xfId="0" applyFont="1" applyAlignment="1">
      <alignment horizontal="center"/>
    </xf>
    <xf numFmtId="4" fontId="20" fillId="40" borderId="13" xfId="0" applyNumberFormat="1" applyFont="1" applyFill="1" applyBorder="1" applyAlignment="1">
      <alignment vertical="center"/>
    </xf>
    <xf numFmtId="3" fontId="13" fillId="0" borderId="13" xfId="0" applyNumberFormat="1" applyFont="1" applyBorder="1" applyAlignment="1">
      <alignment horizontal="center" vertical="center"/>
    </xf>
    <xf numFmtId="0" fontId="13" fillId="19" borderId="23" xfId="47" applyFont="1" applyFill="1" applyBorder="1" applyAlignment="1">
      <alignment horizontal="center" vertical="center" wrapText="1"/>
    </xf>
    <xf numFmtId="0" fontId="13" fillId="32" borderId="12" xfId="47" applyFont="1" applyFill="1" applyBorder="1" applyAlignment="1">
      <alignment horizontal="center" vertical="center"/>
    </xf>
    <xf numFmtId="3" fontId="13" fillId="31" borderId="10" xfId="47" applyNumberFormat="1" applyFont="1" applyFill="1" applyBorder="1" applyAlignment="1">
      <alignment horizontal="center" vertical="center"/>
    </xf>
    <xf numFmtId="4" fontId="13" fillId="0" borderId="12" xfId="47" applyNumberFormat="1" applyFont="1" applyBorder="1" applyAlignment="1">
      <alignment vertical="center"/>
    </xf>
    <xf numFmtId="4" fontId="19" fillId="22" borderId="10" xfId="0" applyNumberFormat="1" applyFont="1" applyFill="1" applyBorder="1" applyAlignment="1">
      <alignment vertical="center"/>
    </xf>
    <xf numFmtId="4" fontId="19" fillId="38" borderId="10" xfId="0" applyNumberFormat="1" applyFont="1" applyFill="1" applyBorder="1" applyAlignment="1">
      <alignment vertical="center"/>
    </xf>
    <xf numFmtId="4" fontId="19" fillId="30" borderId="10" xfId="0" applyNumberFormat="1" applyFont="1" applyFill="1" applyBorder="1" applyAlignment="1">
      <alignment vertical="center"/>
    </xf>
    <xf numFmtId="4" fontId="19" fillId="20" borderId="10" xfId="0" applyNumberFormat="1" applyFont="1" applyFill="1" applyBorder="1" applyAlignment="1">
      <alignment vertical="center"/>
    </xf>
    <xf numFmtId="0" fontId="13" fillId="18" borderId="10" xfId="0" applyFont="1" applyFill="1" applyBorder="1" applyAlignment="1">
      <alignment horizontal="center" vertical="center" wrapText="1"/>
    </xf>
    <xf numFmtId="0" fontId="13" fillId="18" borderId="11" xfId="0" applyFont="1" applyFill="1" applyBorder="1" applyAlignment="1">
      <alignment horizontal="center" vertical="center" wrapText="1"/>
    </xf>
    <xf numFmtId="0" fontId="13" fillId="40" borderId="10" xfId="0" applyFont="1" applyFill="1" applyBorder="1" applyAlignment="1">
      <alignment horizontal="center" vertical="center" wrapText="1"/>
    </xf>
    <xf numFmtId="0" fontId="13" fillId="48" borderId="10" xfId="0" applyFont="1" applyFill="1" applyBorder="1" applyAlignment="1">
      <alignment horizontal="center" vertical="center" wrapText="1"/>
    </xf>
    <xf numFmtId="0" fontId="13" fillId="29" borderId="10" xfId="0" applyFont="1" applyFill="1" applyBorder="1" applyAlignment="1">
      <alignment horizontal="center" vertical="center" wrapText="1"/>
    </xf>
    <xf numFmtId="0" fontId="13" fillId="0" borderId="0" xfId="0" applyFont="1" applyAlignment="1">
      <alignment horizontal="center" vertical="center" wrapText="1"/>
    </xf>
    <xf numFmtId="0" fontId="13" fillId="20" borderId="12" xfId="0" applyFont="1" applyFill="1" applyBorder="1" applyAlignment="1">
      <alignment horizontal="center" vertical="center" wrapText="1"/>
    </xf>
    <xf numFmtId="0" fontId="13" fillId="0" borderId="21" xfId="47" applyFont="1" applyBorder="1" applyAlignment="1">
      <alignment horizontal="center" vertical="center"/>
    </xf>
    <xf numFmtId="17" fontId="19" fillId="0" borderId="0" xfId="0" applyNumberFormat="1" applyFont="1"/>
    <xf numFmtId="40" fontId="19" fillId="0" borderId="0" xfId="33" applyFont="1"/>
    <xf numFmtId="40" fontId="19" fillId="35" borderId="0" xfId="33" applyFont="1" applyFill="1"/>
    <xf numFmtId="40" fontId="19" fillId="47" borderId="0" xfId="33" applyFont="1" applyFill="1"/>
    <xf numFmtId="40" fontId="0" fillId="0" borderId="0" xfId="33" applyFont="1"/>
    <xf numFmtId="40" fontId="19" fillId="0" borderId="38" xfId="33" applyFont="1" applyBorder="1"/>
    <xf numFmtId="0" fontId="3" fillId="0" borderId="10" xfId="0" applyFont="1" applyBorder="1" applyAlignment="1">
      <alignment horizontal="center" vertical="center"/>
    </xf>
    <xf numFmtId="0" fontId="3" fillId="0" borderId="10" xfId="0" applyFont="1" applyBorder="1" applyAlignment="1">
      <alignment horizontal="center"/>
    </xf>
    <xf numFmtId="4" fontId="3" fillId="0" borderId="33" xfId="0" applyNumberFormat="1" applyFont="1" applyBorder="1"/>
    <xf numFmtId="40" fontId="19" fillId="0" borderId="0" xfId="33" applyFont="1" applyFill="1"/>
    <xf numFmtId="182" fontId="12" fillId="0" borderId="0" xfId="0" applyNumberFormat="1" applyFont="1"/>
    <xf numFmtId="2" fontId="1" fillId="0" borderId="0" xfId="0" applyNumberFormat="1" applyFont="1"/>
    <xf numFmtId="4" fontId="20" fillId="0" borderId="13" xfId="0" applyNumberFormat="1" applyFont="1" applyBorder="1" applyAlignment="1">
      <alignment vertical="center"/>
    </xf>
    <xf numFmtId="0" fontId="13" fillId="19" borderId="10" xfId="47" applyFont="1" applyFill="1" applyBorder="1" applyAlignment="1">
      <alignment horizontal="center" vertical="center"/>
    </xf>
    <xf numFmtId="182" fontId="11" fillId="0" borderId="0" xfId="0" applyNumberFormat="1" applyFont="1"/>
    <xf numFmtId="182" fontId="1" fillId="0" borderId="0" xfId="0" applyNumberFormat="1" applyFont="1"/>
    <xf numFmtId="182" fontId="25" fillId="0" borderId="0" xfId="0" applyNumberFormat="1" applyFont="1"/>
    <xf numFmtId="0" fontId="13" fillId="0" borderId="10" xfId="0" applyFont="1" applyBorder="1" applyAlignment="1">
      <alignment horizontal="center" vertical="center" wrapText="1"/>
    </xf>
    <xf numFmtId="40" fontId="19" fillId="0" borderId="10" xfId="33" applyFont="1" applyFill="1" applyBorder="1" applyAlignment="1">
      <alignment vertical="center"/>
    </xf>
    <xf numFmtId="0" fontId="3" fillId="0" borderId="0" xfId="0" applyFont="1" applyAlignment="1">
      <alignment vertical="center"/>
    </xf>
    <xf numFmtId="40" fontId="21" fillId="39" borderId="10" xfId="33" applyFont="1" applyFill="1" applyBorder="1" applyAlignment="1">
      <alignment horizontal="center" vertical="center"/>
    </xf>
    <xf numFmtId="40" fontId="21" fillId="35" borderId="10" xfId="33" applyFont="1" applyFill="1" applyBorder="1" applyAlignment="1">
      <alignment horizontal="center" vertical="center"/>
    </xf>
    <xf numFmtId="0" fontId="2" fillId="35" borderId="10" xfId="0" applyFont="1" applyFill="1" applyBorder="1" applyAlignment="1">
      <alignment horizontal="center" vertical="center" wrapText="1"/>
    </xf>
    <xf numFmtId="3" fontId="60" fillId="0" borderId="10" xfId="0" applyNumberFormat="1" applyFont="1" applyBorder="1" applyAlignment="1">
      <alignment horizontal="center"/>
    </xf>
    <xf numFmtId="0" fontId="3" fillId="0" borderId="0" xfId="0" applyFont="1" applyAlignment="1">
      <alignment horizontal="center" vertical="center"/>
    </xf>
    <xf numFmtId="40" fontId="19" fillId="0" borderId="0" xfId="33" applyFont="1" applyFill="1" applyBorder="1"/>
    <xf numFmtId="40" fontId="0" fillId="0" borderId="0" xfId="33" applyFont="1" applyFill="1" applyBorder="1"/>
    <xf numFmtId="40" fontId="21" fillId="30" borderId="10" xfId="33" applyFont="1" applyFill="1" applyBorder="1" applyAlignment="1">
      <alignment horizontal="center" vertical="center"/>
    </xf>
    <xf numFmtId="4" fontId="19" fillId="30" borderId="10" xfId="0" applyNumberFormat="1" applyFont="1" applyFill="1" applyBorder="1" applyAlignment="1">
      <alignment horizontal="right" vertical="center"/>
    </xf>
    <xf numFmtId="182" fontId="11" fillId="30" borderId="0" xfId="0" applyNumberFormat="1" applyFont="1" applyFill="1"/>
    <xf numFmtId="38" fontId="19" fillId="0" borderId="17" xfId="33" applyNumberFormat="1" applyFont="1" applyFill="1" applyBorder="1" applyAlignment="1">
      <alignment horizontal="center" vertical="center"/>
    </xf>
    <xf numFmtId="172" fontId="19" fillId="0" borderId="15" xfId="0" applyNumberFormat="1" applyFont="1" applyBorder="1" applyAlignment="1">
      <alignment horizontal="center" vertical="center"/>
    </xf>
    <xf numFmtId="0" fontId="19" fillId="50" borderId="14" xfId="0" applyFont="1" applyFill="1" applyBorder="1" applyAlignment="1">
      <alignment horizontal="center" vertical="center"/>
    </xf>
    <xf numFmtId="4" fontId="13" fillId="36" borderId="10" xfId="0" applyNumberFormat="1" applyFont="1" applyFill="1" applyBorder="1" applyAlignment="1">
      <alignment vertical="center"/>
    </xf>
    <xf numFmtId="4" fontId="19" fillId="50" borderId="10" xfId="0" applyNumberFormat="1" applyFont="1" applyFill="1" applyBorder="1" applyAlignment="1">
      <alignment horizontal="right" vertical="center"/>
    </xf>
    <xf numFmtId="4" fontId="19" fillId="50" borderId="10" xfId="0" applyNumberFormat="1" applyFont="1" applyFill="1" applyBorder="1" applyAlignment="1">
      <alignment horizontal="center" vertical="center"/>
    </xf>
    <xf numFmtId="4" fontId="19" fillId="50" borderId="10" xfId="0" applyNumberFormat="1" applyFont="1" applyFill="1" applyBorder="1" applyAlignment="1">
      <alignment vertical="center"/>
    </xf>
    <xf numFmtId="4" fontId="20" fillId="50" borderId="13" xfId="0" applyNumberFormat="1" applyFont="1" applyFill="1" applyBorder="1" applyAlignment="1">
      <alignment vertical="center"/>
    </xf>
    <xf numFmtId="3" fontId="13" fillId="50" borderId="13" xfId="0" applyNumberFormat="1" applyFont="1" applyFill="1" applyBorder="1" applyAlignment="1">
      <alignment horizontal="center" vertical="center"/>
    </xf>
    <xf numFmtId="4" fontId="19" fillId="50" borderId="13" xfId="0" applyNumberFormat="1" applyFont="1" applyFill="1" applyBorder="1" applyAlignment="1">
      <alignment vertical="center"/>
    </xf>
    <xf numFmtId="4" fontId="13" fillId="50" borderId="10" xfId="0" applyNumberFormat="1" applyFont="1" applyFill="1" applyBorder="1" applyAlignment="1">
      <alignment vertical="center"/>
    </xf>
    <xf numFmtId="4" fontId="13" fillId="35" borderId="10" xfId="0" applyNumberFormat="1" applyFont="1" applyFill="1" applyBorder="1" applyAlignment="1">
      <alignment vertical="center"/>
    </xf>
    <xf numFmtId="4" fontId="1" fillId="30" borderId="0" xfId="0" applyNumberFormat="1" applyFont="1" applyFill="1"/>
    <xf numFmtId="40" fontId="13" fillId="0" borderId="0" xfId="0" applyNumberFormat="1" applyFont="1" applyAlignment="1">
      <alignment vertical="center"/>
    </xf>
    <xf numFmtId="0" fontId="60" fillId="0" borderId="0" xfId="0" applyFont="1"/>
    <xf numFmtId="40" fontId="55" fillId="0" borderId="10" xfId="33" applyFont="1" applyFill="1" applyBorder="1" applyAlignment="1">
      <alignment horizontal="right" vertical="center"/>
    </xf>
    <xf numFmtId="40" fontId="19" fillId="31" borderId="10" xfId="33" applyFont="1" applyFill="1" applyBorder="1" applyAlignment="1">
      <alignment horizontal="right" vertical="center"/>
    </xf>
    <xf numFmtId="4" fontId="21" fillId="31" borderId="10" xfId="0" applyNumberFormat="1" applyFont="1" applyFill="1" applyBorder="1" applyAlignment="1">
      <alignment horizontal="center" vertical="center"/>
    </xf>
    <xf numFmtId="17" fontId="13" fillId="31" borderId="10" xfId="0" applyNumberFormat="1" applyFont="1" applyFill="1" applyBorder="1" applyAlignment="1">
      <alignment horizontal="center" vertical="center" wrapText="1"/>
    </xf>
    <xf numFmtId="40" fontId="19" fillId="0" borderId="13" xfId="33" applyFont="1" applyFill="1" applyBorder="1" applyAlignment="1">
      <alignment vertical="center"/>
    </xf>
    <xf numFmtId="40" fontId="55" fillId="0" borderId="10" xfId="33" applyFont="1" applyFill="1" applyBorder="1" applyAlignment="1">
      <alignment vertical="center"/>
    </xf>
    <xf numFmtId="40" fontId="19" fillId="21" borderId="10" xfId="33" applyFont="1" applyFill="1" applyBorder="1" applyAlignment="1">
      <alignment vertical="center"/>
    </xf>
    <xf numFmtId="40" fontId="13" fillId="18" borderId="10" xfId="33" applyFont="1" applyFill="1" applyBorder="1" applyAlignment="1">
      <alignment vertical="center"/>
    </xf>
    <xf numFmtId="40" fontId="19" fillId="50" borderId="13" xfId="33" applyFont="1" applyFill="1" applyBorder="1" applyAlignment="1">
      <alignment vertical="center"/>
    </xf>
    <xf numFmtId="40" fontId="19" fillId="50" borderId="10" xfId="33" applyFont="1" applyFill="1" applyBorder="1" applyAlignment="1">
      <alignment vertical="center"/>
    </xf>
    <xf numFmtId="40" fontId="55" fillId="50" borderId="10" xfId="33" applyFont="1" applyFill="1" applyBorder="1" applyAlignment="1">
      <alignment vertical="center"/>
    </xf>
    <xf numFmtId="40" fontId="19" fillId="0" borderId="0" xfId="33" applyFont="1" applyAlignment="1">
      <alignment vertical="center"/>
    </xf>
    <xf numFmtId="0" fontId="0" fillId="0" borderId="10" xfId="0" applyBorder="1"/>
    <xf numFmtId="0" fontId="0" fillId="0" borderId="10" xfId="0" applyBorder="1" applyAlignment="1">
      <alignment horizontal="center"/>
    </xf>
    <xf numFmtId="0" fontId="1" fillId="0" borderId="10" xfId="0" applyFont="1" applyBorder="1" applyAlignment="1">
      <alignment horizontal="center"/>
    </xf>
    <xf numFmtId="4" fontId="69" fillId="40" borderId="13" xfId="0" applyNumberFormat="1" applyFont="1" applyFill="1" applyBorder="1" applyAlignment="1">
      <alignment vertical="center"/>
    </xf>
    <xf numFmtId="3" fontId="54" fillId="0" borderId="13" xfId="0" applyNumberFormat="1" applyFont="1" applyBorder="1" applyAlignment="1">
      <alignment horizontal="center" vertical="center"/>
    </xf>
    <xf numFmtId="4" fontId="29" fillId="0" borderId="0" xfId="0" quotePrefix="1" applyNumberFormat="1" applyFont="1"/>
    <xf numFmtId="0" fontId="0" fillId="36" borderId="0" xfId="0" applyFill="1"/>
    <xf numFmtId="4" fontId="69" fillId="0" borderId="13" xfId="0" applyNumberFormat="1" applyFont="1" applyBorder="1" applyAlignment="1">
      <alignment vertical="center"/>
    </xf>
    <xf numFmtId="40" fontId="55" fillId="41" borderId="10" xfId="33" applyFont="1" applyFill="1" applyBorder="1" applyAlignment="1">
      <alignment vertical="center"/>
    </xf>
    <xf numFmtId="0" fontId="19" fillId="0" borderId="0" xfId="0" applyFont="1" applyAlignment="1">
      <alignment horizontal="right" vertical="center"/>
    </xf>
    <xf numFmtId="4" fontId="6" fillId="31" borderId="16" xfId="0" applyNumberFormat="1" applyFont="1" applyFill="1" applyBorder="1" applyAlignment="1">
      <alignment vertical="center"/>
    </xf>
    <xf numFmtId="4" fontId="13" fillId="0" borderId="0" xfId="0" applyNumberFormat="1" applyFont="1" applyAlignment="1">
      <alignment vertical="center"/>
    </xf>
    <xf numFmtId="0" fontId="13" fillId="30" borderId="0" xfId="0" applyFont="1" applyFill="1" applyAlignment="1">
      <alignment vertical="center"/>
    </xf>
    <xf numFmtId="0" fontId="13" fillId="30" borderId="0" xfId="0" applyFont="1" applyFill="1" applyAlignment="1">
      <alignment horizontal="right" vertical="center"/>
    </xf>
    <xf numFmtId="40" fontId="13" fillId="30" borderId="16" xfId="33" applyFont="1" applyFill="1" applyBorder="1" applyAlignment="1">
      <alignment vertical="center"/>
    </xf>
    <xf numFmtId="4" fontId="18" fillId="32" borderId="16" xfId="0" applyNumberFormat="1" applyFont="1" applyFill="1" applyBorder="1" applyAlignment="1">
      <alignment vertical="center"/>
    </xf>
    <xf numFmtId="4" fontId="18" fillId="31" borderId="16" xfId="0" applyNumberFormat="1" applyFont="1" applyFill="1" applyBorder="1" applyAlignment="1">
      <alignment vertical="center"/>
    </xf>
    <xf numFmtId="0" fontId="64" fillId="0" borderId="0" xfId="0" applyFont="1"/>
    <xf numFmtId="14" fontId="55" fillId="0" borderId="11" xfId="0" applyNumberFormat="1" applyFont="1" applyBorder="1" applyAlignment="1">
      <alignment horizontal="center" vertical="center"/>
    </xf>
    <xf numFmtId="0" fontId="0" fillId="31" borderId="34" xfId="0" applyFill="1" applyBorder="1"/>
    <xf numFmtId="0" fontId="0" fillId="31" borderId="15" xfId="0" applyFill="1" applyBorder="1"/>
    <xf numFmtId="0" fontId="0" fillId="31" borderId="14" xfId="0" applyFill="1" applyBorder="1"/>
    <xf numFmtId="0" fontId="1" fillId="31" borderId="35" xfId="0" applyFont="1" applyFill="1" applyBorder="1"/>
    <xf numFmtId="0" fontId="0" fillId="31" borderId="33" xfId="0" applyFill="1" applyBorder="1"/>
    <xf numFmtId="0" fontId="0" fillId="31" borderId="37" xfId="0" applyFill="1" applyBorder="1"/>
    <xf numFmtId="40" fontId="19" fillId="31" borderId="10" xfId="33" applyFont="1" applyFill="1" applyBorder="1" applyAlignment="1">
      <alignment vertical="center"/>
    </xf>
    <xf numFmtId="4" fontId="70" fillId="0" borderId="0" xfId="0" quotePrefix="1" applyNumberFormat="1" applyFont="1"/>
    <xf numFmtId="4" fontId="57" fillId="0" borderId="16" xfId="0" applyNumberFormat="1" applyFont="1" applyBorder="1" applyAlignment="1">
      <alignment vertical="center"/>
    </xf>
    <xf numFmtId="4" fontId="59" fillId="0" borderId="0" xfId="0" applyNumberFormat="1" applyFont="1"/>
    <xf numFmtId="0" fontId="59" fillId="0" borderId="0" xfId="0" applyFont="1"/>
    <xf numFmtId="0" fontId="54" fillId="0" borderId="0" xfId="0" applyFont="1" applyAlignment="1">
      <alignment horizontal="right" vertical="center"/>
    </xf>
    <xf numFmtId="4" fontId="71" fillId="0" borderId="26" xfId="0" applyNumberFormat="1" applyFont="1" applyBorder="1" applyAlignment="1">
      <alignment vertical="center"/>
    </xf>
    <xf numFmtId="0" fontId="54" fillId="0" borderId="0" xfId="0" applyFont="1" applyAlignment="1">
      <alignment vertical="center"/>
    </xf>
    <xf numFmtId="4" fontId="71" fillId="0" borderId="0" xfId="0" applyNumberFormat="1" applyFont="1" applyAlignment="1">
      <alignment vertical="center"/>
    </xf>
    <xf numFmtId="0" fontId="12" fillId="0" borderId="0" xfId="0" applyFont="1" applyAlignment="1">
      <alignment horizontal="center" wrapText="1"/>
    </xf>
    <xf numFmtId="0" fontId="19" fillId="0" borderId="10" xfId="0" applyFont="1" applyBorder="1" applyAlignment="1">
      <alignment vertical="center"/>
    </xf>
    <xf numFmtId="40" fontId="54" fillId="30" borderId="13" xfId="33" applyFont="1" applyFill="1" applyBorder="1" applyAlignment="1">
      <alignment horizontal="center" vertical="center"/>
    </xf>
    <xf numFmtId="7" fontId="3" fillId="0" borderId="0" xfId="0" applyNumberFormat="1" applyFont="1"/>
    <xf numFmtId="0" fontId="72" fillId="0" borderId="0" xfId="0" applyFont="1" applyAlignment="1">
      <alignment vertical="center"/>
    </xf>
    <xf numFmtId="40" fontId="3" fillId="0" borderId="0" xfId="0" applyNumberFormat="1" applyFont="1"/>
    <xf numFmtId="4" fontId="26" fillId="0" borderId="0" xfId="0" applyNumberFormat="1" applyFont="1"/>
    <xf numFmtId="0" fontId="73" fillId="0" borderId="0" xfId="0" applyFont="1"/>
    <xf numFmtId="0" fontId="72" fillId="0" borderId="0" xfId="0" applyFont="1"/>
    <xf numFmtId="0" fontId="72" fillId="40" borderId="17" xfId="0" applyFont="1" applyFill="1" applyBorder="1"/>
    <xf numFmtId="0" fontId="3" fillId="40" borderId="27" xfId="0" applyFont="1" applyFill="1" applyBorder="1" applyAlignment="1">
      <alignment horizontal="center"/>
    </xf>
    <xf numFmtId="0" fontId="3" fillId="40" borderId="11" xfId="0" applyFont="1" applyFill="1" applyBorder="1" applyAlignment="1">
      <alignment horizontal="center"/>
    </xf>
    <xf numFmtId="16" fontId="11" fillId="0" borderId="0" xfId="0" applyNumberFormat="1" applyFont="1"/>
    <xf numFmtId="3" fontId="60" fillId="0" borderId="0" xfId="0" applyNumberFormat="1" applyFont="1" applyAlignment="1">
      <alignment horizontal="center"/>
    </xf>
    <xf numFmtId="4" fontId="74" fillId="30" borderId="0" xfId="0" applyNumberFormat="1" applyFont="1" applyFill="1"/>
    <xf numFmtId="4" fontId="3" fillId="30" borderId="0" xfId="0" applyNumberFormat="1" applyFont="1" applyFill="1"/>
    <xf numFmtId="16" fontId="72" fillId="0" borderId="0" xfId="0" applyNumberFormat="1" applyFont="1" applyAlignment="1">
      <alignment horizontal="center" vertical="center"/>
    </xf>
    <xf numFmtId="0" fontId="75" fillId="0" borderId="0" xfId="0" applyFont="1" applyAlignment="1">
      <alignment vertical="center"/>
    </xf>
    <xf numFmtId="0" fontId="0" fillId="0" borderId="0" xfId="0" applyAlignment="1">
      <alignment horizontal="left" vertical="center" indent="1"/>
    </xf>
    <xf numFmtId="0" fontId="76" fillId="0" borderId="0" xfId="0" applyFont="1" applyAlignment="1">
      <alignment horizontal="left" vertical="center" indent="1"/>
    </xf>
    <xf numFmtId="0" fontId="55" fillId="0" borderId="0" xfId="122"/>
    <xf numFmtId="0" fontId="54" fillId="40" borderId="10" xfId="0" applyFont="1" applyFill="1" applyBorder="1" applyAlignment="1">
      <alignment horizontal="center" vertical="center"/>
    </xf>
    <xf numFmtId="0" fontId="2" fillId="37" borderId="10" xfId="0" applyFont="1" applyFill="1" applyBorder="1" applyAlignment="1">
      <alignment horizontal="center" vertical="center" wrapText="1"/>
    </xf>
    <xf numFmtId="0" fontId="13" fillId="39" borderId="34" xfId="0" applyFont="1" applyFill="1" applyBorder="1" applyAlignment="1">
      <alignment horizontal="center" vertical="center" wrapText="1"/>
    </xf>
    <xf numFmtId="0" fontId="13" fillId="39" borderId="35" xfId="0" applyFont="1" applyFill="1" applyBorder="1" applyAlignment="1">
      <alignment horizontal="center" vertical="center" wrapText="1"/>
    </xf>
    <xf numFmtId="0" fontId="2" fillId="20" borderId="17" xfId="0" applyFont="1" applyFill="1" applyBorder="1" applyAlignment="1">
      <alignment horizontal="center" vertical="center"/>
    </xf>
    <xf numFmtId="0" fontId="2" fillId="20" borderId="27" xfId="0" applyFont="1" applyFill="1" applyBorder="1" applyAlignment="1">
      <alignment horizontal="center" vertical="center"/>
    </xf>
    <xf numFmtId="0" fontId="2" fillId="20" borderId="11" xfId="0" applyFont="1" applyFill="1" applyBorder="1" applyAlignment="1">
      <alignment horizontal="center" vertical="center"/>
    </xf>
    <xf numFmtId="0" fontId="2" fillId="22" borderId="10" xfId="0" applyFont="1" applyFill="1" applyBorder="1" applyAlignment="1">
      <alignment horizontal="center" vertical="center" wrapText="1"/>
    </xf>
    <xf numFmtId="0" fontId="19" fillId="0" borderId="0" xfId="0" applyFont="1" applyAlignment="1">
      <alignment horizontal="center" vertical="center" wrapText="1"/>
    </xf>
    <xf numFmtId="4" fontId="19" fillId="0" borderId="18" xfId="0" applyNumberFormat="1" applyFont="1" applyBorder="1" applyAlignment="1">
      <alignment horizontal="center" vertical="center"/>
    </xf>
    <xf numFmtId="4" fontId="19" fillId="0" borderId="19" xfId="0" applyNumberFormat="1" applyFont="1" applyBorder="1" applyAlignment="1">
      <alignment horizontal="center" vertical="center"/>
    </xf>
    <xf numFmtId="0" fontId="13" fillId="26" borderId="13"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3" fillId="24" borderId="17" xfId="0" applyFont="1" applyFill="1" applyBorder="1" applyAlignment="1">
      <alignment horizontal="center" vertical="center" wrapText="1"/>
    </xf>
    <xf numFmtId="0" fontId="13" fillId="24" borderId="27" xfId="0" applyFont="1" applyFill="1" applyBorder="1" applyAlignment="1">
      <alignment horizontal="center" vertical="center" wrapText="1"/>
    </xf>
    <xf numFmtId="0" fontId="13" fillId="24" borderId="11"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23" fillId="25" borderId="17" xfId="0" applyFont="1" applyFill="1" applyBorder="1" applyAlignment="1">
      <alignment horizontal="center" vertical="center"/>
    </xf>
    <xf numFmtId="0" fontId="23" fillId="25" borderId="11" xfId="0" applyFont="1" applyFill="1" applyBorder="1" applyAlignment="1">
      <alignment horizontal="center" vertical="center"/>
    </xf>
    <xf numFmtId="0" fontId="2" fillId="26" borderId="17" xfId="0" applyFont="1" applyFill="1" applyBorder="1" applyAlignment="1">
      <alignment horizontal="center" vertical="center" wrapText="1"/>
    </xf>
    <xf numFmtId="0" fontId="2" fillId="26" borderId="27" xfId="0" applyFont="1" applyFill="1" applyBorder="1" applyAlignment="1">
      <alignment horizontal="center" vertical="center" wrapText="1"/>
    </xf>
    <xf numFmtId="0" fontId="2" fillId="25" borderId="13" xfId="0" applyFont="1" applyFill="1" applyBorder="1" applyAlignment="1">
      <alignment horizontal="center" vertical="center" wrapText="1"/>
    </xf>
    <xf numFmtId="0" fontId="23" fillId="25" borderId="12" xfId="0" applyFont="1" applyFill="1" applyBorder="1" applyAlignment="1">
      <alignment horizontal="center" vertical="center" wrapText="1"/>
    </xf>
    <xf numFmtId="0" fontId="12" fillId="0" borderId="0" xfId="0" applyFont="1" applyAlignment="1">
      <alignment horizontal="center" wrapText="1"/>
    </xf>
    <xf numFmtId="0" fontId="2" fillId="20" borderId="17" xfId="0" applyFont="1" applyFill="1" applyBorder="1" applyAlignment="1">
      <alignment horizontal="center" vertical="center" wrapText="1"/>
    </xf>
    <xf numFmtId="0" fontId="2" fillId="20" borderId="27" xfId="0" applyFont="1" applyFill="1" applyBorder="1" applyAlignment="1">
      <alignment horizontal="center" vertical="center" wrapText="1"/>
    </xf>
    <xf numFmtId="0" fontId="2" fillId="20" borderId="11" xfId="0" applyFont="1" applyFill="1" applyBorder="1" applyAlignment="1">
      <alignment horizontal="center" vertical="center" wrapText="1"/>
    </xf>
    <xf numFmtId="17" fontId="30" fillId="28" borderId="10" xfId="0" applyNumberFormat="1" applyFont="1" applyFill="1" applyBorder="1" applyAlignment="1">
      <alignment horizontal="center" vertical="center"/>
    </xf>
    <xf numFmtId="4" fontId="21" fillId="20" borderId="17" xfId="0" applyNumberFormat="1" applyFont="1" applyFill="1" applyBorder="1" applyAlignment="1">
      <alignment horizontal="center" vertical="center"/>
    </xf>
    <xf numFmtId="4" fontId="21" fillId="20" borderId="27" xfId="0" applyNumberFormat="1" applyFont="1" applyFill="1" applyBorder="1" applyAlignment="1">
      <alignment horizontal="center" vertical="center"/>
    </xf>
    <xf numFmtId="4" fontId="21" fillId="20" borderId="11" xfId="0" applyNumberFormat="1" applyFont="1" applyFill="1" applyBorder="1" applyAlignment="1">
      <alignment horizontal="center" vertical="center"/>
    </xf>
    <xf numFmtId="173" fontId="2" fillId="19" borderId="13" xfId="47" applyNumberFormat="1" applyFont="1" applyFill="1" applyBorder="1" applyAlignment="1">
      <alignment horizontal="center" vertical="center" wrapText="1"/>
    </xf>
    <xf numFmtId="173" fontId="2" fillId="19" borderId="12" xfId="47" applyNumberFormat="1" applyFont="1" applyFill="1" applyBorder="1" applyAlignment="1">
      <alignment horizontal="center" vertical="center" wrapText="1"/>
    </xf>
    <xf numFmtId="0" fontId="2" fillId="43" borderId="10" xfId="47" applyFont="1" applyFill="1" applyBorder="1" applyAlignment="1">
      <alignment horizontal="center" vertical="center" wrapText="1"/>
    </xf>
    <xf numFmtId="0" fontId="21" fillId="43" borderId="10" xfId="47" applyFont="1" applyFill="1" applyBorder="1" applyAlignment="1">
      <alignment horizontal="center" vertical="center" wrapText="1"/>
    </xf>
    <xf numFmtId="0" fontId="21" fillId="19" borderId="10" xfId="47" applyFont="1" applyFill="1" applyBorder="1" applyAlignment="1">
      <alignment horizontal="center" vertical="center"/>
    </xf>
    <xf numFmtId="14" fontId="21" fillId="28" borderId="0" xfId="0" applyNumberFormat="1" applyFont="1" applyFill="1" applyAlignment="1">
      <alignment horizontal="center" vertical="center"/>
    </xf>
    <xf numFmtId="0" fontId="27" fillId="33" borderId="0" xfId="0" applyFont="1" applyFill="1" applyAlignment="1">
      <alignment horizontal="center"/>
    </xf>
    <xf numFmtId="0" fontId="2" fillId="19" borderId="10" xfId="47" applyFont="1" applyFill="1" applyBorder="1" applyAlignment="1">
      <alignment horizontal="center" vertical="center" wrapText="1"/>
    </xf>
    <xf numFmtId="0" fontId="21" fillId="19" borderId="10" xfId="47" applyFont="1" applyFill="1" applyBorder="1" applyAlignment="1">
      <alignment horizontal="center" vertical="center" wrapText="1"/>
    </xf>
    <xf numFmtId="0" fontId="28" fillId="0" borderId="29" xfId="47" applyFont="1" applyBorder="1" applyAlignment="1">
      <alignment horizontal="center" vertical="center"/>
    </xf>
    <xf numFmtId="0" fontId="28" fillId="0" borderId="30" xfId="47" applyFont="1" applyBorder="1" applyAlignment="1">
      <alignment horizontal="center" vertical="center"/>
    </xf>
    <xf numFmtId="0" fontId="28" fillId="0" borderId="28" xfId="47" applyFont="1" applyBorder="1" applyAlignment="1">
      <alignment horizontal="center" vertical="center"/>
    </xf>
    <xf numFmtId="0" fontId="21" fillId="19" borderId="13" xfId="47" applyFont="1" applyFill="1" applyBorder="1" applyAlignment="1">
      <alignment horizontal="center" vertical="center" wrapText="1"/>
    </xf>
    <xf numFmtId="0" fontId="21" fillId="19" borderId="12" xfId="47" applyFont="1" applyFill="1" applyBorder="1" applyAlignment="1">
      <alignment horizontal="center" vertical="center" wrapText="1"/>
    </xf>
    <xf numFmtId="0" fontId="2" fillId="19" borderId="17" xfId="47" applyFont="1" applyFill="1" applyBorder="1" applyAlignment="1">
      <alignment horizontal="center" vertical="center" wrapText="1"/>
    </xf>
    <xf numFmtId="0" fontId="21" fillId="19" borderId="17" xfId="47" applyFont="1" applyFill="1" applyBorder="1" applyAlignment="1">
      <alignment horizontal="center" vertical="center" wrapText="1"/>
    </xf>
    <xf numFmtId="0" fontId="2" fillId="19" borderId="31" xfId="47" applyFont="1" applyFill="1" applyBorder="1" applyAlignment="1">
      <alignment horizontal="center" vertical="center"/>
    </xf>
    <xf numFmtId="0" fontId="2" fillId="19" borderId="32" xfId="47" applyFont="1" applyFill="1" applyBorder="1" applyAlignment="1">
      <alignment horizontal="center" vertical="center"/>
    </xf>
    <xf numFmtId="0" fontId="2" fillId="19" borderId="10" xfId="47" applyFont="1" applyFill="1" applyBorder="1" applyAlignment="1">
      <alignment horizontal="center" vertical="center"/>
    </xf>
    <xf numFmtId="14" fontId="18" fillId="28" borderId="17" xfId="0" applyNumberFormat="1" applyFont="1" applyFill="1" applyBorder="1" applyAlignment="1">
      <alignment horizontal="center" vertical="center"/>
    </xf>
    <xf numFmtId="14" fontId="18" fillId="28" borderId="11" xfId="0" applyNumberFormat="1" applyFont="1" applyFill="1" applyBorder="1" applyAlignment="1">
      <alignment horizontal="center" vertical="center"/>
    </xf>
    <xf numFmtId="0" fontId="30" fillId="33" borderId="17" xfId="0" applyFont="1" applyFill="1" applyBorder="1" applyAlignment="1">
      <alignment horizontal="center" vertical="center"/>
    </xf>
    <xf numFmtId="0" fontId="30" fillId="33" borderId="27" xfId="0" applyFont="1" applyFill="1" applyBorder="1" applyAlignment="1">
      <alignment horizontal="center" vertical="center"/>
    </xf>
    <xf numFmtId="0" fontId="30" fillId="33" borderId="11" xfId="0" applyFont="1" applyFill="1" applyBorder="1" applyAlignment="1">
      <alignment horizontal="center" vertical="center"/>
    </xf>
    <xf numFmtId="0" fontId="13" fillId="19" borderId="10" xfId="47" applyFont="1" applyFill="1" applyBorder="1" applyAlignment="1">
      <alignment horizontal="center" vertical="center" wrapText="1"/>
    </xf>
    <xf numFmtId="173" fontId="13" fillId="19" borderId="13" xfId="47" applyNumberFormat="1" applyFont="1" applyFill="1" applyBorder="1" applyAlignment="1">
      <alignment horizontal="center" vertical="center" wrapText="1"/>
    </xf>
    <xf numFmtId="173" fontId="13" fillId="19" borderId="12" xfId="47" applyNumberFormat="1" applyFont="1" applyFill="1" applyBorder="1" applyAlignment="1">
      <alignment horizontal="center" vertical="center" wrapText="1"/>
    </xf>
    <xf numFmtId="0" fontId="13" fillId="19" borderId="13" xfId="47" applyFont="1" applyFill="1" applyBorder="1" applyAlignment="1">
      <alignment horizontal="center" vertical="center" wrapText="1"/>
    </xf>
    <xf numFmtId="0" fontId="13" fillId="19" borderId="12" xfId="47" applyFont="1" applyFill="1" applyBorder="1" applyAlignment="1">
      <alignment horizontal="center" vertical="center" wrapText="1"/>
    </xf>
    <xf numFmtId="0" fontId="13" fillId="19" borderId="31" xfId="47" applyFont="1" applyFill="1" applyBorder="1" applyAlignment="1">
      <alignment horizontal="center" vertical="center"/>
    </xf>
    <xf numFmtId="0" fontId="13" fillId="19" borderId="32" xfId="47" applyFont="1" applyFill="1" applyBorder="1" applyAlignment="1">
      <alignment horizontal="center" vertical="center"/>
    </xf>
    <xf numFmtId="0" fontId="13" fillId="19" borderId="36" xfId="47" applyFont="1" applyFill="1" applyBorder="1" applyAlignment="1">
      <alignment horizontal="center" vertical="center"/>
    </xf>
    <xf numFmtId="0" fontId="13" fillId="19" borderId="37" xfId="47" applyFont="1" applyFill="1" applyBorder="1" applyAlignment="1">
      <alignment horizontal="center" vertical="center"/>
    </xf>
    <xf numFmtId="0" fontId="2" fillId="35" borderId="10" xfId="0" applyFont="1" applyFill="1" applyBorder="1" applyAlignment="1">
      <alignment horizontal="center" vertical="center" wrapText="1"/>
    </xf>
    <xf numFmtId="0" fontId="13" fillId="35" borderId="10" xfId="0" applyFont="1" applyFill="1" applyBorder="1" applyAlignment="1">
      <alignment horizontal="center" vertical="center" wrapText="1"/>
    </xf>
    <xf numFmtId="0" fontId="13" fillId="34" borderId="10" xfId="47" applyFont="1" applyFill="1" applyBorder="1" applyAlignment="1">
      <alignment horizontal="center" vertical="center" wrapText="1"/>
    </xf>
    <xf numFmtId="0" fontId="13" fillId="33" borderId="10" xfId="47" applyFont="1" applyFill="1" applyBorder="1" applyAlignment="1">
      <alignment horizontal="center" vertical="center" wrapText="1"/>
    </xf>
    <xf numFmtId="0" fontId="13" fillId="19" borderId="10" xfId="47" applyFont="1" applyFill="1" applyBorder="1" applyAlignment="1">
      <alignment horizontal="center" vertical="center"/>
    </xf>
    <xf numFmtId="0" fontId="13" fillId="19" borderId="17" xfId="47" applyFont="1" applyFill="1" applyBorder="1" applyAlignment="1">
      <alignment horizontal="center" vertical="center" wrapText="1"/>
    </xf>
  </cellXfs>
  <cellStyles count="129">
    <cellStyle name="20% - Énfasis1" xfId="1" builtinId="30" customBuiltin="1"/>
    <cellStyle name="20% - Énfasis1 2" xfId="83" xr:uid="{00000000-0005-0000-0000-000001000000}"/>
    <cellStyle name="20% - Énfasis1 3" xfId="120" xr:uid="{00000000-0005-0000-0000-000002000000}"/>
    <cellStyle name="20% - Énfasis2" xfId="2" builtinId="34" customBuiltin="1"/>
    <cellStyle name="20% - Énfasis2 2" xfId="84" xr:uid="{00000000-0005-0000-0000-000004000000}"/>
    <cellStyle name="20% - Énfasis2 3" xfId="119" xr:uid="{00000000-0005-0000-0000-000005000000}"/>
    <cellStyle name="20% - Énfasis3" xfId="3" builtinId="38" customBuiltin="1"/>
    <cellStyle name="20% - Énfasis3 2" xfId="85" xr:uid="{00000000-0005-0000-0000-000007000000}"/>
    <cellStyle name="20% - Énfasis3 3" xfId="118" xr:uid="{00000000-0005-0000-0000-000008000000}"/>
    <cellStyle name="20% - Énfasis4" xfId="4" builtinId="42" customBuiltin="1"/>
    <cellStyle name="20% - Énfasis4 2" xfId="86" xr:uid="{00000000-0005-0000-0000-00000A000000}"/>
    <cellStyle name="20% - Énfasis4 3" xfId="117" xr:uid="{00000000-0005-0000-0000-00000B000000}"/>
    <cellStyle name="20% - Énfasis5" xfId="5" builtinId="46" customBuiltin="1"/>
    <cellStyle name="20% - Énfasis5 2" xfId="87" xr:uid="{00000000-0005-0000-0000-00000D000000}"/>
    <cellStyle name="20% - Énfasis5 3" xfId="116" xr:uid="{00000000-0005-0000-0000-00000E000000}"/>
    <cellStyle name="20% - Énfasis6" xfId="6" builtinId="50" customBuiltin="1"/>
    <cellStyle name="20% - Énfasis6 2" xfId="88" xr:uid="{00000000-0005-0000-0000-000010000000}"/>
    <cellStyle name="20% - Énfasis6 3" xfId="114" xr:uid="{00000000-0005-0000-0000-000011000000}"/>
    <cellStyle name="40% - Énfasis1" xfId="7" builtinId="31" customBuiltin="1"/>
    <cellStyle name="40% - Énfasis1 2" xfId="89" xr:uid="{00000000-0005-0000-0000-000013000000}"/>
    <cellStyle name="40% - Énfasis1 3" xfId="113" xr:uid="{00000000-0005-0000-0000-000014000000}"/>
    <cellStyle name="40% - Énfasis2" xfId="8" builtinId="35" customBuiltin="1"/>
    <cellStyle name="40% - Énfasis2 2" xfId="90" xr:uid="{00000000-0005-0000-0000-000016000000}"/>
    <cellStyle name="40% - Énfasis2 3" xfId="112" xr:uid="{00000000-0005-0000-0000-000017000000}"/>
    <cellStyle name="40% - Énfasis3" xfId="9" builtinId="39" customBuiltin="1"/>
    <cellStyle name="40% - Énfasis3 2" xfId="91" xr:uid="{00000000-0005-0000-0000-000019000000}"/>
    <cellStyle name="40% - Énfasis3 3" xfId="111" xr:uid="{00000000-0005-0000-0000-00001A000000}"/>
    <cellStyle name="40% - Énfasis4" xfId="10" builtinId="43" customBuiltin="1"/>
    <cellStyle name="40% - Énfasis4 2" xfId="92" xr:uid="{00000000-0005-0000-0000-00001C000000}"/>
    <cellStyle name="40% - Énfasis4 3" xfId="110" xr:uid="{00000000-0005-0000-0000-00001D000000}"/>
    <cellStyle name="40% - Énfasis5" xfId="11" builtinId="47" customBuiltin="1"/>
    <cellStyle name="40% - Énfasis5 2" xfId="93" xr:uid="{00000000-0005-0000-0000-00001F000000}"/>
    <cellStyle name="40% - Énfasis5 3" xfId="108" xr:uid="{00000000-0005-0000-0000-000020000000}"/>
    <cellStyle name="40% - Énfasis6" xfId="12" builtinId="51" customBuiltin="1"/>
    <cellStyle name="40% - Énfasis6 2" xfId="94" xr:uid="{00000000-0005-0000-0000-000022000000}"/>
    <cellStyle name="40% - Énfasis6 3" xfId="106" xr:uid="{00000000-0005-0000-0000-000023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75"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36000000}"/>
    <cellStyle name="Incorrecto" xfId="32" builtinId="27" customBuiltin="1"/>
    <cellStyle name="Millares" xfId="33" builtinId="3"/>
    <cellStyle name="Millares 2" xfId="34" xr:uid="{00000000-0005-0000-0000-000039000000}"/>
    <cellStyle name="Millares 2 2" xfId="98" xr:uid="{00000000-0005-0000-0000-00003A000000}"/>
    <cellStyle name="Millares 2 3" xfId="123" xr:uid="{00000000-0005-0000-0000-00003B000000}"/>
    <cellStyle name="Millares 3" xfId="35" xr:uid="{00000000-0005-0000-0000-00003C000000}"/>
    <cellStyle name="Millares 3 2" xfId="99" xr:uid="{00000000-0005-0000-0000-00003D000000}"/>
    <cellStyle name="Millares 3 3" xfId="102" xr:uid="{00000000-0005-0000-0000-00003E000000}"/>
    <cellStyle name="Millares 4" xfId="36" xr:uid="{00000000-0005-0000-0000-00003F000000}"/>
    <cellStyle name="Millares 4 2" xfId="100" xr:uid="{00000000-0005-0000-0000-000040000000}"/>
    <cellStyle name="Millares 4 3" xfId="101" xr:uid="{00000000-0005-0000-0000-000041000000}"/>
    <cellStyle name="Millares 5" xfId="81" xr:uid="{00000000-0005-0000-0000-000042000000}"/>
    <cellStyle name="Moneda" xfId="37" builtinId="4"/>
    <cellStyle name="Moneda 2" xfId="38" xr:uid="{00000000-0005-0000-0000-000044000000}"/>
    <cellStyle name="Moneda 2 2" xfId="39" xr:uid="{00000000-0005-0000-0000-000045000000}"/>
    <cellStyle name="Moneda 2 3" xfId="40" xr:uid="{00000000-0005-0000-0000-000046000000}"/>
    <cellStyle name="Moneda 2 4" xfId="82" xr:uid="{00000000-0005-0000-0000-000047000000}"/>
    <cellStyle name="Moneda 3" xfId="41" xr:uid="{00000000-0005-0000-0000-000048000000}"/>
    <cellStyle name="Moneda 3 2" xfId="42" xr:uid="{00000000-0005-0000-0000-000049000000}"/>
    <cellStyle name="Moneda 3 3" xfId="103" xr:uid="{00000000-0005-0000-0000-00004A000000}"/>
    <cellStyle name="Moneda 3 4" xfId="97" xr:uid="{00000000-0005-0000-0000-00004B000000}"/>
    <cellStyle name="Moneda 4" xfId="43" xr:uid="{00000000-0005-0000-0000-00004C000000}"/>
    <cellStyle name="Moneda 5" xfId="44" xr:uid="{00000000-0005-0000-0000-00004D000000}"/>
    <cellStyle name="Moneda 5 2" xfId="104" xr:uid="{00000000-0005-0000-0000-00004E000000}"/>
    <cellStyle name="Moneda 5 3" xfId="96" xr:uid="{00000000-0005-0000-0000-00004F000000}"/>
    <cellStyle name="Neutral" xfId="45" builtinId="28" customBuiltin="1"/>
    <cellStyle name="Normal" xfId="0" builtinId="0"/>
    <cellStyle name="Normal 2" xfId="46" xr:uid="{00000000-0005-0000-0000-000052000000}"/>
    <cellStyle name="Normal 2 2" xfId="47" xr:uid="{00000000-0005-0000-0000-000053000000}"/>
    <cellStyle name="Normal 2 2 2" xfId="48" xr:uid="{00000000-0005-0000-0000-000054000000}"/>
    <cellStyle name="Normal 2 2 2 2 2" xfId="49" xr:uid="{00000000-0005-0000-0000-000055000000}"/>
    <cellStyle name="Normal 2 2 2 2 2 2" xfId="50" xr:uid="{00000000-0005-0000-0000-000056000000}"/>
    <cellStyle name="Normal 2 2 2 2 2 2 2" xfId="51" xr:uid="{00000000-0005-0000-0000-000057000000}"/>
    <cellStyle name="Normal 2 2 2 2 2 2 2 2" xfId="52" xr:uid="{00000000-0005-0000-0000-000058000000}"/>
    <cellStyle name="Normal 2 2 2 2 2 3" xfId="53" xr:uid="{00000000-0005-0000-0000-000059000000}"/>
    <cellStyle name="Normal 2 2 2 2 3" xfId="54" xr:uid="{00000000-0005-0000-0000-00005A000000}"/>
    <cellStyle name="Normal 2 2 2 3" xfId="55" xr:uid="{00000000-0005-0000-0000-00005B000000}"/>
    <cellStyle name="Normal 2 2 2 4" xfId="56" xr:uid="{00000000-0005-0000-0000-00005C000000}"/>
    <cellStyle name="Normal 2 2 3" xfId="57" xr:uid="{00000000-0005-0000-0000-00005D000000}"/>
    <cellStyle name="Normal 2 2 4" xfId="58" xr:uid="{00000000-0005-0000-0000-00005E000000}"/>
    <cellStyle name="Normal 2 3" xfId="59" xr:uid="{00000000-0005-0000-0000-00005F000000}"/>
    <cellStyle name="Normal 2 4" xfId="60" xr:uid="{00000000-0005-0000-0000-000060000000}"/>
    <cellStyle name="Normal 2 5" xfId="61" xr:uid="{00000000-0005-0000-0000-000061000000}"/>
    <cellStyle name="Normal 2 6" xfId="80" xr:uid="{00000000-0005-0000-0000-000062000000}"/>
    <cellStyle name="Normal 2 6 2" xfId="122" xr:uid="{00000000-0005-0000-0000-000063000000}"/>
    <cellStyle name="Normal 2 6 3" xfId="128" xr:uid="{00000000-0005-0000-0000-000064000000}"/>
    <cellStyle name="Normal 2 7" xfId="105" xr:uid="{00000000-0005-0000-0000-000065000000}"/>
    <cellStyle name="Normal 2 8" xfId="95" xr:uid="{00000000-0005-0000-0000-000066000000}"/>
    <cellStyle name="Normal 3" xfId="62" xr:uid="{00000000-0005-0000-0000-000067000000}"/>
    <cellStyle name="Normal 3 2" xfId="63" xr:uid="{00000000-0005-0000-0000-000068000000}"/>
    <cellStyle name="Normal 3 3" xfId="64" xr:uid="{00000000-0005-0000-0000-000069000000}"/>
    <cellStyle name="Normal 4" xfId="65" xr:uid="{00000000-0005-0000-0000-00006A000000}"/>
    <cellStyle name="Normal 4 2" xfId="66" xr:uid="{00000000-0005-0000-0000-00006B000000}"/>
    <cellStyle name="Normal 4 3" xfId="107" xr:uid="{00000000-0005-0000-0000-00006C000000}"/>
    <cellStyle name="Normal 4 4" xfId="124" xr:uid="{00000000-0005-0000-0000-00006D000000}"/>
    <cellStyle name="Normal 5" xfId="67" xr:uid="{00000000-0005-0000-0000-00006E000000}"/>
    <cellStyle name="Normal 5 2" xfId="109" xr:uid="{00000000-0005-0000-0000-00006F000000}"/>
    <cellStyle name="Normal 5 3" xfId="125" xr:uid="{00000000-0005-0000-0000-000070000000}"/>
    <cellStyle name="Normal 6" xfId="79" xr:uid="{00000000-0005-0000-0000-000071000000}"/>
    <cellStyle name="Normal 6 2" xfId="121" xr:uid="{00000000-0005-0000-0000-000072000000}"/>
    <cellStyle name="Normal 6 3" xfId="127" xr:uid="{00000000-0005-0000-0000-000073000000}"/>
    <cellStyle name="Notas" xfId="68" builtinId="10" customBuiltin="1"/>
    <cellStyle name="Porcentual 2" xfId="69" xr:uid="{00000000-0005-0000-0000-000075000000}"/>
    <cellStyle name="Porcentual 3" xfId="70" xr:uid="{00000000-0005-0000-0000-000076000000}"/>
    <cellStyle name="Salida" xfId="71" builtinId="21" customBuiltin="1"/>
    <cellStyle name="Texto de advertencia" xfId="72" builtinId="11" customBuiltin="1"/>
    <cellStyle name="Texto de advertencia 2" xfId="115" xr:uid="{00000000-0005-0000-0000-000079000000}"/>
    <cellStyle name="Texto de advertencia 3" xfId="126" xr:uid="{00000000-0005-0000-0000-00007A000000}"/>
    <cellStyle name="Texto explicativo" xfId="73" builtinId="53" customBuiltin="1"/>
    <cellStyle name="Título" xfId="74" builtinId="15" customBuiltin="1"/>
    <cellStyle name="Título 2" xfId="76" builtinId="17" customBuiltin="1"/>
    <cellStyle name="Título 3" xfId="77" builtinId="18" customBuiltin="1"/>
    <cellStyle name="Total" xfId="78" builtinId="25" customBuiltin="1"/>
  </cellStyles>
  <dxfs count="0"/>
  <tableStyles count="0" defaultTableStyle="TableStyleMedium9" defaultPivotStyle="PivotStyleLight16"/>
  <colors>
    <mruColors>
      <color rgb="FFFF66CC"/>
      <color rgb="FF66FF33"/>
      <color rgb="FFFF99CC"/>
      <color rgb="FF74F6F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Right="0"/>
    <pageSetUpPr fitToPage="1"/>
  </sheetPr>
  <dimension ref="A1:AT25"/>
  <sheetViews>
    <sheetView tabSelected="1" zoomScale="85" zoomScaleNormal="85" workbookViewId="0">
      <pane xSplit="4" ySplit="5" topLeftCell="E6" activePane="bottomRight" state="frozen"/>
      <selection pane="topRight" activeCell="E1" sqref="E1"/>
      <selection pane="bottomLeft" activeCell="A6" sqref="A6"/>
      <selection pane="bottomRight" activeCell="E2" sqref="E2"/>
    </sheetView>
  </sheetViews>
  <sheetFormatPr baseColWidth="10" defaultColWidth="11.42578125" defaultRowHeight="12" customHeight="1" x14ac:dyDescent="0.2"/>
  <cols>
    <col min="1" max="1" width="3.140625" style="3" customWidth="1"/>
    <col min="2" max="2" width="16" style="3" customWidth="1"/>
    <col min="3" max="3" width="5.5703125" style="3" customWidth="1"/>
    <col min="4" max="4" width="27.140625" style="3" customWidth="1"/>
    <col min="5" max="5" width="13.85546875" style="3" customWidth="1"/>
    <col min="6" max="6" width="12.7109375" style="3" bestFit="1" customWidth="1"/>
    <col min="7" max="7" width="12.28515625" style="2" customWidth="1"/>
    <col min="8" max="8" width="5.28515625" style="3" customWidth="1"/>
    <col min="9" max="9" width="5.5703125" style="3" customWidth="1"/>
    <col min="10" max="10" width="12" style="3" customWidth="1"/>
    <col min="11" max="11" width="11.7109375" style="3" customWidth="1"/>
    <col min="12" max="13" width="7.42578125" style="3" customWidth="1"/>
    <col min="14" max="14" width="6.28515625" style="3" customWidth="1"/>
    <col min="15" max="15" width="9.7109375" style="3" customWidth="1"/>
    <col min="16" max="16" width="6.28515625" style="3" customWidth="1"/>
    <col min="17" max="17" width="10.140625" style="3" customWidth="1"/>
    <col min="18" max="18" width="11.140625" style="3" customWidth="1"/>
    <col min="19" max="19" width="11.7109375" style="3" customWidth="1"/>
    <col min="20" max="20" width="11.85546875" style="3" customWidth="1"/>
    <col min="21" max="21" width="13.28515625" style="3" customWidth="1"/>
    <col min="22" max="22" width="10.7109375" style="3" customWidth="1"/>
    <col min="23" max="23" width="11.85546875" style="3" customWidth="1"/>
    <col min="24" max="24" width="10.28515625" style="3" customWidth="1"/>
    <col min="25" max="26" width="10.140625" style="3" customWidth="1"/>
    <col min="27" max="27" width="11.85546875" style="3" customWidth="1"/>
    <col min="28" max="28" width="13.7109375" style="3" customWidth="1"/>
    <col min="29" max="29" width="11.85546875" style="3" customWidth="1"/>
    <col min="30" max="30" width="14" style="3" customWidth="1"/>
    <col min="31" max="31" width="11.7109375" style="3" customWidth="1"/>
    <col min="32" max="32" width="5.5703125" style="3" customWidth="1"/>
    <col min="33" max="33" width="9.28515625" style="3" customWidth="1"/>
    <col min="34" max="34" width="10.28515625" style="3" customWidth="1"/>
    <col min="35" max="35" width="6.7109375" style="3" customWidth="1"/>
    <col min="36" max="36" width="9.42578125" style="3" customWidth="1"/>
    <col min="37" max="37" width="10.140625" style="3" customWidth="1"/>
    <col min="38" max="38" width="11.7109375" style="3" customWidth="1"/>
    <col min="39" max="39" width="10.28515625" style="3" customWidth="1"/>
    <col min="40" max="40" width="11.7109375" style="3" bestFit="1" customWidth="1"/>
    <col min="41" max="41" width="10.28515625" style="3" bestFit="1" customWidth="1"/>
    <col min="42" max="42" width="13" style="3" customWidth="1"/>
    <col min="43" max="62" width="7.85546875" style="3" customWidth="1"/>
    <col min="63" max="16384" width="11.42578125" style="3"/>
  </cols>
  <sheetData>
    <row r="1" spans="1:46" customFormat="1" ht="24" thickBot="1" x14ac:dyDescent="0.4">
      <c r="A1" s="33" t="s">
        <v>146</v>
      </c>
      <c r="C1" s="18"/>
      <c r="D1" s="18"/>
      <c r="E1" s="99">
        <v>45597</v>
      </c>
      <c r="F1" s="19"/>
      <c r="G1" s="2"/>
      <c r="H1" s="5"/>
      <c r="I1" s="3"/>
      <c r="J1" s="387" t="s">
        <v>83</v>
      </c>
      <c r="K1" s="387"/>
      <c r="L1" s="387"/>
      <c r="M1" s="387"/>
      <c r="N1" s="387"/>
      <c r="O1" s="387"/>
      <c r="P1" s="3"/>
      <c r="Q1" s="3"/>
      <c r="R1" s="3"/>
      <c r="S1" s="3"/>
      <c r="T1" s="3"/>
      <c r="U1" s="3"/>
      <c r="V1" s="3"/>
      <c r="W1" s="3"/>
      <c r="X1" s="3"/>
      <c r="Y1" s="3"/>
      <c r="Z1" s="3"/>
      <c r="AA1" s="3"/>
      <c r="AB1" s="2"/>
      <c r="AC1" s="2"/>
      <c r="AD1" s="2"/>
      <c r="AL1" s="4"/>
      <c r="AM1" s="4"/>
      <c r="AN1" s="4"/>
      <c r="AO1" s="4"/>
      <c r="AP1" s="4"/>
      <c r="AQ1" s="4"/>
      <c r="AR1" s="4"/>
      <c r="AS1" s="4"/>
      <c r="AT1" s="4"/>
    </row>
    <row r="2" spans="1:46" ht="20.25" x14ac:dyDescent="0.3">
      <c r="A2" s="183" t="s">
        <v>147</v>
      </c>
      <c r="C2" s="18"/>
      <c r="D2" s="18"/>
      <c r="E2" s="17"/>
      <c r="F2" s="17"/>
      <c r="Q2" s="2"/>
      <c r="R2" s="6"/>
      <c r="S2" s="6"/>
      <c r="T2" s="6" t="s">
        <v>211</v>
      </c>
      <c r="U2" s="6" t="s">
        <v>209</v>
      </c>
      <c r="V2" s="3" t="s">
        <v>210</v>
      </c>
      <c r="W2" s="34"/>
      <c r="X2" s="8"/>
      <c r="Y2" s="6"/>
      <c r="Z2" s="6"/>
      <c r="AC2" s="3" t="s">
        <v>223</v>
      </c>
      <c r="AD2" s="3" t="s">
        <v>224</v>
      </c>
      <c r="AK2" s="8"/>
      <c r="AM2" s="256" t="s">
        <v>173</v>
      </c>
    </row>
    <row r="3" spans="1:46" ht="19.5" customHeight="1" x14ac:dyDescent="0.2">
      <c r="G3" s="3"/>
      <c r="J3" s="7"/>
      <c r="K3" s="7"/>
      <c r="L3" s="7"/>
      <c r="M3" s="7"/>
      <c r="N3" s="7"/>
      <c r="O3" s="7"/>
      <c r="P3" s="7"/>
      <c r="Q3" s="206"/>
      <c r="R3" s="206"/>
      <c r="S3" s="206"/>
      <c r="T3" s="212">
        <v>141</v>
      </c>
      <c r="U3" s="211">
        <v>142</v>
      </c>
      <c r="V3" s="212">
        <v>149</v>
      </c>
      <c r="W3" s="206"/>
      <c r="X3" s="206">
        <v>1</v>
      </c>
      <c r="Y3" s="206"/>
      <c r="Z3" s="206"/>
      <c r="AC3" s="212">
        <v>147</v>
      </c>
      <c r="AD3" s="212">
        <v>143</v>
      </c>
      <c r="AM3" s="256" t="s">
        <v>174</v>
      </c>
      <c r="AO3" s="8"/>
    </row>
    <row r="4" spans="1:46" ht="12.75" customHeight="1" x14ac:dyDescent="0.2">
      <c r="B4" s="1"/>
      <c r="C4" s="1"/>
      <c r="D4" s="1"/>
      <c r="E4" s="9"/>
      <c r="F4" s="9"/>
      <c r="N4" s="3">
        <v>3300</v>
      </c>
      <c r="O4" s="3">
        <v>8</v>
      </c>
      <c r="P4" s="3">
        <v>4</v>
      </c>
      <c r="R4" s="2"/>
      <c r="S4" s="189" t="s">
        <v>199</v>
      </c>
      <c r="T4" s="226">
        <v>52.671610000000001</v>
      </c>
      <c r="U4" s="227">
        <v>27432.560000000001</v>
      </c>
      <c r="V4" s="228">
        <v>18636.07</v>
      </c>
      <c r="AA4"/>
      <c r="AC4" s="213">
        <f>+T4</f>
        <v>52.671610000000001</v>
      </c>
      <c r="AD4" s="214">
        <v>35553.620000000003</v>
      </c>
      <c r="AE4"/>
      <c r="AG4" s="391" t="s">
        <v>26</v>
      </c>
      <c r="AH4" s="392"/>
      <c r="AI4" s="393"/>
      <c r="AJ4" s="35"/>
      <c r="AK4" s="394" t="s">
        <v>27</v>
      </c>
      <c r="AL4" s="388" t="s">
        <v>28</v>
      </c>
      <c r="AM4" s="389" t="s">
        <v>172</v>
      </c>
      <c r="AN4" s="388" t="s">
        <v>28</v>
      </c>
      <c r="AO4" s="8"/>
    </row>
    <row r="5" spans="1:46" s="272" customFormat="1" ht="36.75" customHeight="1" x14ac:dyDescent="0.2">
      <c r="A5" s="267" t="s">
        <v>5</v>
      </c>
      <c r="B5" s="267" t="s">
        <v>0</v>
      </c>
      <c r="C5" s="267" t="s">
        <v>6</v>
      </c>
      <c r="D5" s="267" t="s">
        <v>1</v>
      </c>
      <c r="E5" s="267" t="s">
        <v>29</v>
      </c>
      <c r="F5" s="267" t="s">
        <v>125</v>
      </c>
      <c r="G5" s="268" t="s">
        <v>3</v>
      </c>
      <c r="H5" s="267" t="s">
        <v>30</v>
      </c>
      <c r="I5" s="267" t="s">
        <v>12</v>
      </c>
      <c r="J5" s="267" t="s">
        <v>31</v>
      </c>
      <c r="K5" s="267" t="s">
        <v>182</v>
      </c>
      <c r="L5" s="269" t="s">
        <v>127</v>
      </c>
      <c r="M5" s="292" t="s">
        <v>171</v>
      </c>
      <c r="N5" s="270" t="s">
        <v>137</v>
      </c>
      <c r="O5" s="270" t="s">
        <v>138</v>
      </c>
      <c r="P5" s="270" t="s">
        <v>139</v>
      </c>
      <c r="Q5" s="191" t="s">
        <v>4</v>
      </c>
      <c r="R5" s="191" t="s">
        <v>32</v>
      </c>
      <c r="S5" s="191" t="s">
        <v>198</v>
      </c>
      <c r="T5" s="270" t="s">
        <v>140</v>
      </c>
      <c r="U5" s="270" t="s">
        <v>138</v>
      </c>
      <c r="V5" s="270" t="s">
        <v>141</v>
      </c>
      <c r="W5" s="191" t="s">
        <v>7</v>
      </c>
      <c r="X5" s="191" t="s">
        <v>2</v>
      </c>
      <c r="Y5" s="191" t="s">
        <v>25</v>
      </c>
      <c r="Z5" s="191" t="s">
        <v>237</v>
      </c>
      <c r="AA5" s="267" t="s">
        <v>33</v>
      </c>
      <c r="AB5" s="269" t="s">
        <v>188</v>
      </c>
      <c r="AC5" s="271" t="s">
        <v>142</v>
      </c>
      <c r="AD5" s="271" t="s">
        <v>143</v>
      </c>
      <c r="AE5" s="267" t="s">
        <v>35</v>
      </c>
      <c r="AG5" s="273" t="s">
        <v>36</v>
      </c>
      <c r="AH5" s="273" t="s">
        <v>37</v>
      </c>
      <c r="AI5" s="273" t="s">
        <v>38</v>
      </c>
      <c r="AJ5" s="44"/>
      <c r="AK5" s="394"/>
      <c r="AL5" s="388"/>
      <c r="AM5" s="390"/>
      <c r="AN5" s="388"/>
    </row>
    <row r="6" spans="1:46" s="44" customFormat="1" ht="21" customHeight="1" x14ac:dyDescent="0.2">
      <c r="A6" s="38">
        <v>1</v>
      </c>
      <c r="B6" s="39" t="s">
        <v>135</v>
      </c>
      <c r="C6" s="38">
        <v>1</v>
      </c>
      <c r="D6" s="40" t="s">
        <v>136</v>
      </c>
      <c r="E6" s="38" t="s">
        <v>133</v>
      </c>
      <c r="F6" s="177" t="s">
        <v>165</v>
      </c>
      <c r="G6" s="185">
        <v>43283</v>
      </c>
      <c r="H6" s="41">
        <f t="shared" ref="H6:H7" si="0">DATEDIF(G6,$E$1,"y")</f>
        <v>6</v>
      </c>
      <c r="I6" s="38">
        <v>100</v>
      </c>
      <c r="J6" s="257">
        <v>658381.37</v>
      </c>
      <c r="K6" s="287">
        <f>+J6</f>
        <v>658381.37</v>
      </c>
      <c r="L6" s="258">
        <v>22</v>
      </c>
      <c r="M6" s="258"/>
      <c r="N6" s="336">
        <f>110*L6</f>
        <v>2420</v>
      </c>
      <c r="O6" s="258">
        <v>4</v>
      </c>
      <c r="P6" s="258">
        <v>2</v>
      </c>
      <c r="Q6" s="293">
        <f>+(J6*I6/100)/30*L6</f>
        <v>482813.00466666662</v>
      </c>
      <c r="R6" s="324">
        <f>+J6/24*M6</f>
        <v>0</v>
      </c>
      <c r="S6" s="340">
        <f>+K6*10%/30*L6</f>
        <v>48281.300466666667</v>
      </c>
      <c r="T6" s="325">
        <f>+((($T$4/100*I6)*N6))</f>
        <v>127465.2962</v>
      </c>
      <c r="U6" s="325">
        <f>+((($U$4/100*I6)*O6))</f>
        <v>109730.24000000001</v>
      </c>
      <c r="V6" s="293">
        <f>+((($V$4/100*I6)*P6))</f>
        <v>37272.14</v>
      </c>
      <c r="W6" s="325">
        <f>+(Q6+R6+S6+T6+U6+V6)*0.01*H6</f>
        <v>48333.71888</v>
      </c>
      <c r="X6" s="143"/>
      <c r="Z6" s="367"/>
      <c r="AA6" s="327">
        <f>SUM(Q6:Z6)</f>
        <v>853895.70021333336</v>
      </c>
      <c r="AB6" s="43"/>
      <c r="AC6" s="43">
        <f>+((($AC$4*I6/100)*N6))</f>
        <v>127465.2962</v>
      </c>
      <c r="AD6" s="43">
        <f>+((($AD$4*I6/100)*P6))</f>
        <v>71107.240000000005</v>
      </c>
      <c r="AE6" s="231">
        <f>SUM(AB6:AD6)</f>
        <v>198572.5362</v>
      </c>
      <c r="AG6" s="266"/>
      <c r="AH6" s="266"/>
      <c r="AI6" s="266"/>
      <c r="AJ6" s="62"/>
      <c r="AK6" s="263">
        <f>+'CARGAS SOCIALES'!AH5+'CARGAS SOCIALES'!AI5+'CARGAS SOCIALES'!AJ5+'CARGAS SOCIALES'!AK5+'CARGAS SOCIALES'!Q5+'CARGAS SOCIALES'!R5</f>
        <v>183587.57554586668</v>
      </c>
      <c r="AL6" s="264">
        <f>ROUNDUP(AA6+AE6-AK6,0)</f>
        <v>868881</v>
      </c>
      <c r="AM6" s="265"/>
      <c r="AN6" s="264">
        <f>+AL6-AM6</f>
        <v>868881</v>
      </c>
      <c r="AO6" s="331">
        <v>785115</v>
      </c>
      <c r="AP6" s="62"/>
    </row>
    <row r="7" spans="1:46" s="44" customFormat="1" ht="21" customHeight="1" x14ac:dyDescent="0.2">
      <c r="A7" s="38">
        <v>2</v>
      </c>
      <c r="B7" s="39" t="s">
        <v>158</v>
      </c>
      <c r="C7" s="38">
        <v>2</v>
      </c>
      <c r="D7" s="40" t="s">
        <v>159</v>
      </c>
      <c r="E7" s="38" t="s">
        <v>133</v>
      </c>
      <c r="F7" s="177" t="s">
        <v>126</v>
      </c>
      <c r="G7" s="185">
        <v>43511</v>
      </c>
      <c r="H7" s="41">
        <f t="shared" si="0"/>
        <v>5</v>
      </c>
      <c r="I7" s="38">
        <v>100</v>
      </c>
      <c r="J7" s="335">
        <f>+J6</f>
        <v>658381.37</v>
      </c>
      <c r="K7" s="339">
        <f t="shared" ref="K7" si="1">+J7</f>
        <v>658381.37</v>
      </c>
      <c r="L7" s="336">
        <v>22</v>
      </c>
      <c r="M7" s="336"/>
      <c r="N7" s="336">
        <f>3300/30*L7</f>
        <v>2420</v>
      </c>
      <c r="O7" s="336">
        <v>4</v>
      </c>
      <c r="P7" s="258">
        <v>2</v>
      </c>
      <c r="Q7" s="293">
        <f>+(J7*I7/100)/30*L7</f>
        <v>482813.00466666662</v>
      </c>
      <c r="R7" s="324">
        <f>+J7/24*M7</f>
        <v>0</v>
      </c>
      <c r="S7" s="340">
        <f>+K7*10%/30*L7</f>
        <v>48281.300466666667</v>
      </c>
      <c r="T7" s="325">
        <f>+($T$4/100*I7)*N7</f>
        <v>127465.2962</v>
      </c>
      <c r="U7" s="325">
        <f>+($U$4/100*I7)*O7</f>
        <v>109730.24000000001</v>
      </c>
      <c r="V7" s="325">
        <f>+($V$4/100*I7)*P7</f>
        <v>37272.14</v>
      </c>
      <c r="W7" s="325">
        <f>+(Q7+R7+S7+T7+U7+V7)*0.01*H7</f>
        <v>40278.099066666662</v>
      </c>
      <c r="X7" s="143"/>
      <c r="Y7" s="326"/>
      <c r="Z7" s="326"/>
      <c r="AA7" s="327">
        <f>SUM(Q7:Z7)</f>
        <v>845840.08039999998</v>
      </c>
      <c r="AB7" s="43"/>
      <c r="AC7" s="43">
        <f>+($AC$4*I7/100)*N7</f>
        <v>127465.2962</v>
      </c>
      <c r="AD7" s="43">
        <f>+($AD$4*I7/100)*P7</f>
        <v>71107.240000000005</v>
      </c>
      <c r="AE7" s="231">
        <f>SUM(AB7:AD7)</f>
        <v>198572.5362</v>
      </c>
      <c r="AG7" s="266"/>
      <c r="AH7" s="266"/>
      <c r="AI7" s="266"/>
      <c r="AJ7" s="62"/>
      <c r="AK7" s="263">
        <f>+'CARGAS SOCIALES'!AH6+'CARGAS SOCIALES'!AI6+'CARGAS SOCIALES'!AJ6+'CARGAS SOCIALES'!AK6+'CARGAS SOCIALES'!Q6+'CARGAS SOCIALES'!R6</f>
        <v>181855.61728599996</v>
      </c>
      <c r="AL7" s="264">
        <f>ROUNDUP(AA7+AE7-AK7,0)</f>
        <v>862557</v>
      </c>
      <c r="AM7" s="265">
        <v>0</v>
      </c>
      <c r="AN7" s="264">
        <f t="shared" ref="AN7:AN8" si="2">+AL7-AM7</f>
        <v>862557</v>
      </c>
      <c r="AO7" s="331"/>
      <c r="AP7" s="62"/>
    </row>
    <row r="8" spans="1:46" s="44" customFormat="1" ht="21" customHeight="1" x14ac:dyDescent="0.2">
      <c r="A8" s="38">
        <v>4</v>
      </c>
      <c r="B8" s="39" t="s">
        <v>191</v>
      </c>
      <c r="C8" s="38">
        <v>4</v>
      </c>
      <c r="D8" s="40" t="s">
        <v>192</v>
      </c>
      <c r="E8" s="38" t="s">
        <v>193</v>
      </c>
      <c r="F8" s="177"/>
      <c r="G8" s="185">
        <v>44317</v>
      </c>
      <c r="H8" s="41"/>
      <c r="I8" s="38">
        <v>100</v>
      </c>
      <c r="J8" s="257">
        <v>800000</v>
      </c>
      <c r="K8" s="312"/>
      <c r="L8" s="258">
        <v>30</v>
      </c>
      <c r="M8" s="313"/>
      <c r="N8" s="313"/>
      <c r="O8" s="313"/>
      <c r="P8" s="313"/>
      <c r="Q8" s="293">
        <f>+(J8*I8/100)/30*L8</f>
        <v>800000</v>
      </c>
      <c r="R8" s="328"/>
      <c r="S8" s="329"/>
      <c r="T8" s="329"/>
      <c r="U8" s="329"/>
      <c r="V8" s="329"/>
      <c r="W8" s="330"/>
      <c r="X8" s="143"/>
      <c r="Y8" s="326"/>
      <c r="Z8" s="326"/>
      <c r="AA8" s="327">
        <f>SUM(Q8:Z8)</f>
        <v>800000</v>
      </c>
      <c r="AB8" s="314"/>
      <c r="AC8" s="314"/>
      <c r="AD8" s="314"/>
      <c r="AE8" s="315"/>
      <c r="AG8" s="266"/>
      <c r="AH8" s="266"/>
      <c r="AI8" s="266"/>
      <c r="AJ8" s="62"/>
      <c r="AK8" s="263"/>
      <c r="AL8" s="264">
        <f>ROUNDUP(AA8+AE8-AK8,0)</f>
        <v>800000</v>
      </c>
      <c r="AM8" s="265"/>
      <c r="AN8" s="264">
        <f t="shared" si="2"/>
        <v>800000</v>
      </c>
      <c r="AO8" s="331"/>
      <c r="AP8" s="62"/>
    </row>
    <row r="9" spans="1:46" s="44" customFormat="1" ht="21" customHeight="1" x14ac:dyDescent="0.2">
      <c r="A9" s="124"/>
      <c r="B9" s="125"/>
      <c r="C9" s="124"/>
      <c r="D9" s="126"/>
      <c r="E9" s="124"/>
      <c r="F9" s="124"/>
      <c r="G9" s="127"/>
      <c r="H9" s="128"/>
      <c r="I9" s="124"/>
      <c r="J9" s="123"/>
      <c r="K9" s="123"/>
      <c r="L9" s="123"/>
      <c r="M9" s="123">
        <f>SUM(M6:M7)</f>
        <v>0</v>
      </c>
      <c r="N9" s="123"/>
      <c r="O9" s="123"/>
      <c r="P9" s="123"/>
      <c r="Q9" s="48">
        <f>SUM(Q6:Q7)</f>
        <v>965626.00933333323</v>
      </c>
      <c r="R9" s="48">
        <f>SUM(R6:R7)</f>
        <v>0</v>
      </c>
      <c r="S9" s="48">
        <f>SUM(S6:S7)</f>
        <v>96562.600933333335</v>
      </c>
      <c r="T9" s="48">
        <f>SUM(T6:T8)</f>
        <v>254930.59239999999</v>
      </c>
      <c r="U9" s="48">
        <f>SUM(U6:U8)</f>
        <v>219460.48000000001</v>
      </c>
      <c r="V9" s="48">
        <f>SUM(V6:V8)</f>
        <v>74544.28</v>
      </c>
      <c r="W9" s="48">
        <f>SUM(W6:W8)</f>
        <v>88611.817946666662</v>
      </c>
      <c r="X9" s="48">
        <f>SUM(X6:X6)</f>
        <v>0</v>
      </c>
      <c r="Y9" s="48">
        <f>SUM(Y6:Y7)</f>
        <v>0</v>
      </c>
      <c r="Z9" s="48">
        <f>SUM(Z6:Z7)</f>
        <v>0</v>
      </c>
      <c r="AA9" s="48">
        <f>SUM(AA6:AA8)</f>
        <v>2499735.7806133335</v>
      </c>
      <c r="AB9" s="232">
        <f>SUM(AB6:AB7)</f>
        <v>0</v>
      </c>
      <c r="AC9" s="187">
        <f>SUM(AC6:AC8)</f>
        <v>254930.59239999999</v>
      </c>
      <c r="AD9" s="187">
        <f>SUM(AD6:AD8)</f>
        <v>142214.48000000001</v>
      </c>
      <c r="AE9" s="207">
        <f>SUM(AE6:AE8)</f>
        <v>397145.0724</v>
      </c>
      <c r="AG9" s="48">
        <f>SUM(AG6:AG6)</f>
        <v>0</v>
      </c>
      <c r="AH9" s="48">
        <f>SUM(AH6:AH6)</f>
        <v>0</v>
      </c>
      <c r="AI9" s="48">
        <f>SUM(AI6:AI6)</f>
        <v>0</v>
      </c>
      <c r="AJ9" s="45"/>
      <c r="AK9" s="48">
        <f>SUM(AK6:AK8)</f>
        <v>365443.19283186668</v>
      </c>
      <c r="AL9" s="48">
        <f>SUM(AL6:AL8)</f>
        <v>2531438</v>
      </c>
      <c r="AM9" s="48">
        <f>SUM(AM6:AM8)</f>
        <v>0</v>
      </c>
      <c r="AN9" s="48">
        <f>SUM(AN6:AN8)</f>
        <v>2531438</v>
      </c>
      <c r="AO9" s="331"/>
      <c r="AP9" s="62"/>
    </row>
    <row r="10" spans="1:46" ht="13.5" customHeight="1" x14ac:dyDescent="0.2">
      <c r="B10" s="11"/>
      <c r="C10" s="2"/>
      <c r="D10" s="2"/>
      <c r="E10" s="6"/>
      <c r="F10" s="6"/>
      <c r="J10" s="7"/>
      <c r="K10" s="7"/>
      <c r="L10" s="7"/>
      <c r="M10" s="7"/>
      <c r="N10" s="7"/>
      <c r="O10" s="7"/>
      <c r="P10" s="7"/>
      <c r="Q10" s="7"/>
      <c r="W10"/>
      <c r="X10"/>
      <c r="Y10" s="6"/>
      <c r="Z10" s="6"/>
      <c r="AO10" s="331"/>
      <c r="AP10" s="7"/>
    </row>
    <row r="11" spans="1:46" ht="13.5" customHeight="1" x14ac:dyDescent="0.2">
      <c r="B11" s="11"/>
      <c r="C11" s="2"/>
      <c r="D11" s="2"/>
      <c r="E11" s="6"/>
      <c r="F11" s="6"/>
      <c r="J11" s="7"/>
      <c r="K11" s="7"/>
      <c r="L11" s="7"/>
      <c r="M11" s="7"/>
      <c r="N11" s="7"/>
      <c r="O11" s="7"/>
      <c r="P11" s="7"/>
      <c r="Q11" s="7"/>
      <c r="W11"/>
      <c r="X11"/>
      <c r="Y11" s="6"/>
      <c r="Z11" s="6"/>
      <c r="AO11" s="331"/>
      <c r="AP11" s="7"/>
    </row>
    <row r="12" spans="1:46" ht="13.5" customHeight="1" x14ac:dyDescent="0.2">
      <c r="B12" s="11"/>
      <c r="C12" s="2"/>
      <c r="D12" s="2"/>
      <c r="E12" s="6"/>
      <c r="F12" s="6"/>
      <c r="J12" s="7"/>
      <c r="K12" s="7"/>
      <c r="L12" s="7"/>
      <c r="M12" s="7"/>
      <c r="N12" s="380" t="s">
        <v>244</v>
      </c>
      <c r="O12" s="380"/>
      <c r="P12" s="380"/>
      <c r="Q12" s="381"/>
      <c r="W12"/>
      <c r="X12"/>
      <c r="Y12" s="6"/>
      <c r="Z12" s="6"/>
      <c r="AO12" s="331"/>
      <c r="AP12" s="7"/>
    </row>
    <row r="13" spans="1:46" ht="13.5" customHeight="1" x14ac:dyDescent="0.25">
      <c r="B13" s="375" t="s">
        <v>242</v>
      </c>
      <c r="C13" s="376"/>
      <c r="D13" s="377" t="s">
        <v>246</v>
      </c>
      <c r="E13" s="6"/>
      <c r="F13" s="6"/>
      <c r="J13" s="7"/>
      <c r="K13" s="7"/>
      <c r="L13" s="7"/>
      <c r="M13" s="7"/>
      <c r="N13" s="7"/>
      <c r="O13" s="7"/>
      <c r="P13" s="7"/>
      <c r="Q13" s="7"/>
      <c r="W13"/>
      <c r="X13"/>
      <c r="Y13" s="6"/>
      <c r="Z13" s="6"/>
      <c r="AO13" s="331"/>
      <c r="AP13" s="7"/>
    </row>
    <row r="14" spans="1:46" ht="12" customHeight="1" x14ac:dyDescent="0.2">
      <c r="B14" s="370"/>
      <c r="U14" s="371"/>
      <c r="AB14" s="3" t="s">
        <v>239</v>
      </c>
    </row>
    <row r="15" spans="1:46" ht="12" customHeight="1" x14ac:dyDescent="0.2">
      <c r="B15" s="370" t="s">
        <v>245</v>
      </c>
      <c r="U15" s="372"/>
    </row>
    <row r="16" spans="1:46" ht="12" customHeight="1" x14ac:dyDescent="0.2">
      <c r="B16" s="383" t="s">
        <v>249</v>
      </c>
      <c r="R16" s="369"/>
    </row>
    <row r="17" spans="2:15" ht="12" customHeight="1" x14ac:dyDescent="0.2">
      <c r="B17"/>
      <c r="O17" s="7"/>
    </row>
    <row r="18" spans="2:15" ht="12" customHeight="1" x14ac:dyDescent="0.2">
      <c r="B18" s="383"/>
    </row>
    <row r="19" spans="2:15" ht="12" customHeight="1" x14ac:dyDescent="0.2">
      <c r="B19" s="384"/>
    </row>
    <row r="20" spans="2:15" ht="12" customHeight="1" x14ac:dyDescent="0.2">
      <c r="B20" s="385" t="s">
        <v>250</v>
      </c>
    </row>
    <row r="21" spans="2:15" ht="12" customHeight="1" x14ac:dyDescent="0.2">
      <c r="B21" s="385" t="s">
        <v>251</v>
      </c>
    </row>
    <row r="22" spans="2:15" ht="12" customHeight="1" x14ac:dyDescent="0.2">
      <c r="B22" s="370"/>
    </row>
    <row r="23" spans="2:15" ht="12" customHeight="1" x14ac:dyDescent="0.2">
      <c r="B23" s="370"/>
    </row>
    <row r="24" spans="2:15" ht="12" customHeight="1" x14ac:dyDescent="0.25">
      <c r="B24" s="373"/>
      <c r="C24" s="8"/>
      <c r="D24" s="8"/>
    </row>
    <row r="25" spans="2:15" ht="12" customHeight="1" x14ac:dyDescent="0.2">
      <c r="B25" s="8"/>
    </row>
  </sheetData>
  <mergeCells count="6">
    <mergeCell ref="J1:O1"/>
    <mergeCell ref="AN4:AN5"/>
    <mergeCell ref="AM4:AM5"/>
    <mergeCell ref="AL4:AL5"/>
    <mergeCell ref="AG4:AI4"/>
    <mergeCell ref="AK4:AK5"/>
  </mergeCells>
  <pageMargins left="0.15748031496062992" right="0.15748031496062992" top="0.39370078740157483" bottom="0.39370078740157483" header="0" footer="0"/>
  <pageSetup paperSize="9" scale="3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G18"/>
  <sheetViews>
    <sheetView workbookViewId="0">
      <selection activeCell="G28" sqref="G28"/>
    </sheetView>
  </sheetViews>
  <sheetFormatPr baseColWidth="10" defaultRowHeight="12.75" x14ac:dyDescent="0.2"/>
  <cols>
    <col min="1" max="1" width="3" bestFit="1" customWidth="1"/>
    <col min="2" max="2" width="14.140625" bestFit="1" customWidth="1"/>
    <col min="3" max="3" width="31.5703125" bestFit="1" customWidth="1"/>
    <col min="5" max="5" width="12.5703125" customWidth="1"/>
  </cols>
  <sheetData>
    <row r="1" spans="1:7" x14ac:dyDescent="0.2">
      <c r="A1" s="122"/>
      <c r="B1" s="122" t="s">
        <v>20</v>
      </c>
      <c r="C1" s="122" t="s">
        <v>113</v>
      </c>
      <c r="D1" s="122" t="s">
        <v>71</v>
      </c>
      <c r="E1" s="122" t="s">
        <v>79</v>
      </c>
    </row>
    <row r="2" spans="1:7" x14ac:dyDescent="0.2">
      <c r="A2" s="162">
        <f t="shared" ref="A2:A12" si="0">+A1+1</f>
        <v>1</v>
      </c>
      <c r="B2" s="166" t="s">
        <v>85</v>
      </c>
      <c r="C2" s="167" t="s">
        <v>84</v>
      </c>
      <c r="D2" s="165">
        <f t="shared" ref="D2:D17" si="1">E2*100/12</f>
        <v>3920.672</v>
      </c>
      <c r="E2" s="165">
        <v>470.48063999999999</v>
      </c>
      <c r="G2" t="s">
        <v>119</v>
      </c>
    </row>
    <row r="3" spans="1:7" x14ac:dyDescent="0.2">
      <c r="A3" s="162">
        <f t="shared" si="0"/>
        <v>2</v>
      </c>
      <c r="B3" s="163">
        <v>20305723402</v>
      </c>
      <c r="C3" s="164" t="s">
        <v>86</v>
      </c>
      <c r="D3" s="165">
        <f t="shared" si="1"/>
        <v>5011.0560000000005</v>
      </c>
      <c r="E3" s="165">
        <v>601.32672000000002</v>
      </c>
      <c r="G3" t="s">
        <v>114</v>
      </c>
    </row>
    <row r="4" spans="1:7" x14ac:dyDescent="0.2">
      <c r="A4" s="162">
        <f t="shared" si="0"/>
        <v>3</v>
      </c>
      <c r="B4" s="163" t="s">
        <v>88</v>
      </c>
      <c r="C4" s="164" t="s">
        <v>87</v>
      </c>
      <c r="D4" s="165">
        <f t="shared" si="1"/>
        <v>5011.0560000000005</v>
      </c>
      <c r="E4" s="165">
        <v>601.32672000000002</v>
      </c>
      <c r="G4" t="s">
        <v>115</v>
      </c>
    </row>
    <row r="5" spans="1:7" x14ac:dyDescent="0.2">
      <c r="A5" s="162">
        <f t="shared" si="0"/>
        <v>4</v>
      </c>
      <c r="B5" s="163" t="s">
        <v>89</v>
      </c>
      <c r="C5" s="164" t="s">
        <v>90</v>
      </c>
      <c r="D5" s="165">
        <f t="shared" si="1"/>
        <v>4241.5680000000002</v>
      </c>
      <c r="E5" s="165">
        <v>508.98815999999999</v>
      </c>
    </row>
    <row r="6" spans="1:7" x14ac:dyDescent="0.2">
      <c r="A6" s="162">
        <f t="shared" si="0"/>
        <v>5</v>
      </c>
      <c r="B6" s="163" t="s">
        <v>91</v>
      </c>
      <c r="C6" s="164" t="s">
        <v>92</v>
      </c>
      <c r="D6" s="165">
        <f t="shared" si="1"/>
        <v>4241.5680000000002</v>
      </c>
      <c r="E6" s="165">
        <v>508.98815999999999</v>
      </c>
    </row>
    <row r="7" spans="1:7" x14ac:dyDescent="0.2">
      <c r="A7" s="162">
        <f t="shared" si="0"/>
        <v>6</v>
      </c>
      <c r="B7" s="163" t="s">
        <v>93</v>
      </c>
      <c r="C7" s="164" t="s">
        <v>94</v>
      </c>
      <c r="D7" s="165">
        <f t="shared" si="1"/>
        <v>5011.0560000000005</v>
      </c>
      <c r="E7" s="165">
        <v>601.32672000000002</v>
      </c>
      <c r="G7" t="s">
        <v>120</v>
      </c>
    </row>
    <row r="8" spans="1:7" x14ac:dyDescent="0.2">
      <c r="A8" s="168">
        <f t="shared" si="0"/>
        <v>7</v>
      </c>
      <c r="B8" s="169" t="s">
        <v>95</v>
      </c>
      <c r="C8" s="170" t="s">
        <v>96</v>
      </c>
      <c r="D8" s="172">
        <f t="shared" si="1"/>
        <v>2213</v>
      </c>
      <c r="E8" s="172">
        <v>265.56</v>
      </c>
      <c r="G8" t="s">
        <v>121</v>
      </c>
    </row>
    <row r="9" spans="1:7" x14ac:dyDescent="0.2">
      <c r="A9" s="162">
        <f t="shared" si="0"/>
        <v>8</v>
      </c>
      <c r="B9" s="163" t="s">
        <v>97</v>
      </c>
      <c r="C9" s="164" t="s">
        <v>99</v>
      </c>
      <c r="D9" s="165">
        <f t="shared" si="1"/>
        <v>4241.5680000000002</v>
      </c>
      <c r="E9" s="165">
        <v>508.98815999999999</v>
      </c>
      <c r="G9" t="s">
        <v>122</v>
      </c>
    </row>
    <row r="10" spans="1:7" x14ac:dyDescent="0.2">
      <c r="A10" s="162">
        <f t="shared" si="0"/>
        <v>9</v>
      </c>
      <c r="B10" s="163" t="s">
        <v>98</v>
      </c>
      <c r="C10" s="164" t="s">
        <v>100</v>
      </c>
      <c r="D10" s="165">
        <f t="shared" si="1"/>
        <v>5011.0560000000005</v>
      </c>
      <c r="E10" s="165">
        <v>601.32672000000002</v>
      </c>
    </row>
    <row r="11" spans="1:7" x14ac:dyDescent="0.2">
      <c r="A11" s="168">
        <f t="shared" si="0"/>
        <v>10</v>
      </c>
      <c r="B11" s="169" t="s">
        <v>102</v>
      </c>
      <c r="C11" s="170" t="s">
        <v>101</v>
      </c>
      <c r="D11" s="171">
        <f t="shared" si="1"/>
        <v>2213</v>
      </c>
      <c r="E11" s="171">
        <v>265.56</v>
      </c>
    </row>
    <row r="12" spans="1:7" x14ac:dyDescent="0.2">
      <c r="A12" s="162">
        <f t="shared" si="0"/>
        <v>11</v>
      </c>
      <c r="B12" s="163" t="s">
        <v>104</v>
      </c>
      <c r="C12" s="164" t="s">
        <v>103</v>
      </c>
      <c r="D12" s="165">
        <f t="shared" si="1"/>
        <v>4241.5680000000002</v>
      </c>
      <c r="E12" s="165">
        <v>508.98815999999999</v>
      </c>
    </row>
    <row r="13" spans="1:7" x14ac:dyDescent="0.2">
      <c r="A13" s="162">
        <v>1</v>
      </c>
      <c r="B13" s="163" t="s">
        <v>106</v>
      </c>
      <c r="C13" s="164" t="s">
        <v>105</v>
      </c>
      <c r="D13" s="165">
        <f t="shared" si="1"/>
        <v>4241.5680000000002</v>
      </c>
      <c r="E13" s="165">
        <v>508.98815999999999</v>
      </c>
    </row>
    <row r="14" spans="1:7" x14ac:dyDescent="0.2">
      <c r="A14" s="162">
        <f>+A13+1</f>
        <v>2</v>
      </c>
      <c r="B14" s="163" t="s">
        <v>112</v>
      </c>
      <c r="C14" s="164" t="s">
        <v>107</v>
      </c>
      <c r="D14" s="165">
        <f t="shared" si="1"/>
        <v>4241.5680000000002</v>
      </c>
      <c r="E14" s="165">
        <v>508.98815999999999</v>
      </c>
    </row>
    <row r="15" spans="1:7" x14ac:dyDescent="0.2">
      <c r="A15" s="162">
        <f>+A14+1</f>
        <v>3</v>
      </c>
      <c r="B15" s="163" t="s">
        <v>108</v>
      </c>
      <c r="C15" s="164" t="s">
        <v>109</v>
      </c>
      <c r="D15" s="165">
        <f t="shared" si="1"/>
        <v>4241.5659999999998</v>
      </c>
      <c r="E15" s="165">
        <v>508.98791999999997</v>
      </c>
    </row>
    <row r="16" spans="1:7" x14ac:dyDescent="0.2">
      <c r="A16" s="162">
        <f>+A15+1</f>
        <v>4</v>
      </c>
      <c r="B16" s="163" t="s">
        <v>110</v>
      </c>
      <c r="C16" s="164" t="s">
        <v>111</v>
      </c>
      <c r="D16" s="165">
        <f t="shared" si="1"/>
        <v>4241.5680000000002</v>
      </c>
      <c r="E16" s="165">
        <v>508.98815999999999</v>
      </c>
    </row>
    <row r="17" spans="1:5" x14ac:dyDescent="0.2">
      <c r="A17" s="162">
        <f>+A16+1</f>
        <v>5</v>
      </c>
      <c r="B17" s="163" t="s">
        <v>124</v>
      </c>
      <c r="C17" s="164" t="s">
        <v>123</v>
      </c>
      <c r="D17" s="165">
        <f t="shared" si="1"/>
        <v>3411.6959999999999</v>
      </c>
      <c r="E17" s="165">
        <v>409.40351999999996</v>
      </c>
    </row>
    <row r="18" spans="1:5" ht="15.75" x14ac:dyDescent="0.25">
      <c r="E18" s="149">
        <f>SUM(E2:E17)</f>
        <v>7888.2160799999992</v>
      </c>
    </row>
  </sheetData>
  <sortState xmlns:xlrd2="http://schemas.microsoft.com/office/spreadsheetml/2017/richdata2" ref="A2:F19">
    <sortCondition ref="B2:B19"/>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outlinePr summaryRight="0"/>
    <pageSetUpPr fitToPage="1"/>
  </sheetPr>
  <dimension ref="A1:AQ65505"/>
  <sheetViews>
    <sheetView zoomScale="85" zoomScaleNormal="85" workbookViewId="0">
      <pane xSplit="9" ySplit="4" topLeftCell="Q5" activePane="bottomRight" state="frozen"/>
      <selection activeCell="O14" sqref="O14"/>
      <selection pane="topRight" activeCell="O14" sqref="O14"/>
      <selection pane="bottomLeft" activeCell="O14" sqref="O14"/>
      <selection pane="bottomRight" activeCell="E1" sqref="E1"/>
    </sheetView>
  </sheetViews>
  <sheetFormatPr baseColWidth="10" defaultColWidth="11.42578125" defaultRowHeight="12.75" customHeight="1" x14ac:dyDescent="0.2"/>
  <cols>
    <col min="1" max="1" width="5.140625" style="15" customWidth="1"/>
    <col min="2" max="2" width="14.5703125" style="15" customWidth="1"/>
    <col min="3" max="3" width="4.5703125" style="15" customWidth="1"/>
    <col min="4" max="4" width="28" style="15" customWidth="1"/>
    <col min="5" max="5" width="13.42578125" style="15" customWidth="1"/>
    <col min="6" max="6" width="12.7109375" style="15" bestFit="1" customWidth="1"/>
    <col min="7" max="7" width="11" style="15" customWidth="1"/>
    <col min="8" max="8" width="7" style="15" customWidth="1"/>
    <col min="9" max="9" width="6.28515625" style="15" customWidth="1"/>
    <col min="10" max="11" width="7.7109375" style="15" customWidth="1"/>
    <col min="12" max="15" width="12" style="15" customWidth="1"/>
    <col min="16" max="16" width="16.140625" style="15" customWidth="1"/>
    <col min="17" max="23" width="11" style="15" customWidth="1"/>
    <col min="24" max="24" width="10.42578125" style="15" customWidth="1"/>
    <col min="25" max="26" width="11.5703125" style="15" customWidth="1"/>
    <col min="27" max="29" width="11.42578125" style="15"/>
    <col min="30" max="30" width="11.42578125" style="15" customWidth="1"/>
    <col min="31" max="31" width="12.85546875" style="15" bestFit="1" customWidth="1"/>
    <col min="32" max="33" width="11.42578125" style="15"/>
    <col min="34" max="34" width="12" style="15" customWidth="1"/>
    <col min="35" max="35" width="15.42578125" style="15" customWidth="1"/>
    <col min="36" max="38" width="11.42578125" style="15"/>
    <col min="39" max="39" width="13.7109375" style="15" customWidth="1"/>
    <col min="40" max="16384" width="11.42578125" style="15"/>
  </cols>
  <sheetData>
    <row r="1" spans="1:43" ht="26.25" thickBot="1" x14ac:dyDescent="0.4">
      <c r="A1" s="33" t="str">
        <f>+'NOMINA MES'!A1</f>
        <v>AGR SERVICIOS S.R.L.</v>
      </c>
      <c r="B1" s="18"/>
      <c r="C1" s="20"/>
      <c r="D1" s="20"/>
      <c r="E1" s="99">
        <f>+'NOMINA MES'!E1:I1</f>
        <v>45597</v>
      </c>
      <c r="F1" s="178"/>
      <c r="H1" s="92"/>
      <c r="I1" s="20"/>
      <c r="J1" s="20"/>
      <c r="K1" s="20"/>
      <c r="L1" s="20"/>
      <c r="P1" s="95"/>
      <c r="Q1" s="20"/>
      <c r="R1" s="20"/>
      <c r="S1" s="20"/>
      <c r="T1" s="20"/>
      <c r="U1" s="20"/>
      <c r="V1" s="20"/>
      <c r="W1" s="20"/>
      <c r="X1" s="20"/>
      <c r="Y1" s="20"/>
      <c r="Z1" s="20"/>
      <c r="AA1" s="192"/>
      <c r="AB1" s="192"/>
      <c r="AC1" s="192"/>
      <c r="AD1" s="192"/>
      <c r="AE1" s="192"/>
      <c r="AF1" s="20"/>
      <c r="AJ1" s="50"/>
      <c r="AL1" s="104" t="s">
        <v>39</v>
      </c>
      <c r="AM1" s="20"/>
    </row>
    <row r="2" spans="1:43" ht="21" customHeight="1" x14ac:dyDescent="0.3">
      <c r="A2" s="95" t="str">
        <f>+'NOMINA MES'!A2</f>
        <v>CUIT:  30-71595903-4</v>
      </c>
      <c r="B2" s="18"/>
      <c r="C2" s="20"/>
      <c r="D2" s="20"/>
      <c r="E2" s="20"/>
      <c r="F2" s="20"/>
      <c r="G2" s="20"/>
      <c r="H2" s="20"/>
      <c r="I2" s="20"/>
      <c r="J2" s="20"/>
      <c r="K2" s="20"/>
      <c r="L2" s="20"/>
      <c r="M2" s="20"/>
      <c r="N2" s="209">
        <v>45281.15</v>
      </c>
      <c r="O2" s="20"/>
      <c r="P2" s="95"/>
      <c r="Q2" s="20"/>
      <c r="R2" s="20"/>
      <c r="S2" s="251" t="s">
        <v>167</v>
      </c>
      <c r="T2" s="20"/>
      <c r="U2" s="20"/>
      <c r="V2" s="20"/>
      <c r="W2" s="20"/>
      <c r="X2" s="20"/>
      <c r="Y2" s="20"/>
      <c r="Z2" s="20"/>
      <c r="AA2" s="20"/>
      <c r="AB2" s="20"/>
      <c r="AC2" s="20"/>
      <c r="AJ2" s="50"/>
      <c r="AL2" s="50" t="s">
        <v>153</v>
      </c>
      <c r="AM2" s="20"/>
    </row>
    <row r="3" spans="1:43" ht="12.75" customHeight="1" x14ac:dyDescent="0.3">
      <c r="B3" s="20"/>
      <c r="C3" s="20"/>
      <c r="D3" s="20"/>
      <c r="E3" s="20"/>
      <c r="F3" s="20"/>
      <c r="G3" s="20"/>
      <c r="H3" s="20"/>
      <c r="I3" s="20"/>
      <c r="J3" s="20"/>
      <c r="K3" s="20"/>
      <c r="L3" s="20"/>
      <c r="M3" s="20"/>
      <c r="N3" s="203">
        <f>7003.68</f>
        <v>7003.68</v>
      </c>
      <c r="O3" s="203"/>
      <c r="P3" s="95"/>
      <c r="Q3" s="411" t="s">
        <v>40</v>
      </c>
      <c r="R3" s="412"/>
      <c r="S3" s="412"/>
      <c r="T3" s="412"/>
      <c r="U3" s="412"/>
      <c r="V3" s="412"/>
      <c r="W3" s="413"/>
      <c r="X3" s="404" t="s">
        <v>8</v>
      </c>
      <c r="Y3" s="405"/>
      <c r="Z3" s="408" t="s">
        <v>168</v>
      </c>
      <c r="AA3" s="406" t="s">
        <v>9</v>
      </c>
      <c r="AB3" s="407"/>
      <c r="AC3" s="407"/>
      <c r="AD3" s="407"/>
      <c r="AE3" s="407"/>
      <c r="AF3" s="407"/>
      <c r="AG3" s="398" t="s">
        <v>10</v>
      </c>
      <c r="AH3" s="400" t="s">
        <v>11</v>
      </c>
      <c r="AI3" s="401"/>
      <c r="AJ3" s="402"/>
      <c r="AK3" s="403" t="s">
        <v>10</v>
      </c>
      <c r="AL3" s="116">
        <v>12</v>
      </c>
      <c r="AM3" s="20"/>
    </row>
    <row r="4" spans="1:43" ht="61.5" customHeight="1" x14ac:dyDescent="0.3">
      <c r="A4" s="94" t="s">
        <v>5</v>
      </c>
      <c r="B4" s="94" t="s">
        <v>0</v>
      </c>
      <c r="C4" s="37" t="s">
        <v>6</v>
      </c>
      <c r="D4" s="94" t="s">
        <v>1</v>
      </c>
      <c r="E4" s="138" t="s">
        <v>29</v>
      </c>
      <c r="F4" s="36" t="s">
        <v>125</v>
      </c>
      <c r="G4" s="94" t="s">
        <v>3</v>
      </c>
      <c r="H4" s="37" t="s">
        <v>30</v>
      </c>
      <c r="I4" s="37" t="s">
        <v>12</v>
      </c>
      <c r="J4" s="202" t="s">
        <v>131</v>
      </c>
      <c r="K4" s="202" t="s">
        <v>134</v>
      </c>
      <c r="L4" s="111" t="s">
        <v>33</v>
      </c>
      <c r="M4" s="111" t="s">
        <v>35</v>
      </c>
      <c r="N4" s="37" t="s">
        <v>132</v>
      </c>
      <c r="O4" s="37" t="s">
        <v>157</v>
      </c>
      <c r="P4" s="95"/>
      <c r="Q4" s="193" t="s">
        <v>42</v>
      </c>
      <c r="R4" s="193" t="s">
        <v>67</v>
      </c>
      <c r="S4" s="193" t="s">
        <v>170</v>
      </c>
      <c r="T4" s="193" t="s">
        <v>154</v>
      </c>
      <c r="U4" s="140" t="s">
        <v>43</v>
      </c>
      <c r="V4" s="141" t="s">
        <v>155</v>
      </c>
      <c r="W4" s="141" t="s">
        <v>238</v>
      </c>
      <c r="X4" s="184" t="s">
        <v>194</v>
      </c>
      <c r="Y4" s="184" t="s">
        <v>195</v>
      </c>
      <c r="Z4" s="409"/>
      <c r="AA4" s="114" t="s">
        <v>13</v>
      </c>
      <c r="AB4" s="114" t="s">
        <v>14</v>
      </c>
      <c r="AC4" s="114" t="s">
        <v>15</v>
      </c>
      <c r="AD4" s="114" t="s">
        <v>16</v>
      </c>
      <c r="AE4" s="115" t="s">
        <v>156</v>
      </c>
      <c r="AF4" s="115" t="s">
        <v>17</v>
      </c>
      <c r="AG4" s="399"/>
      <c r="AH4" s="201" t="s">
        <v>13</v>
      </c>
      <c r="AI4" s="199" t="s">
        <v>14</v>
      </c>
      <c r="AJ4" s="200" t="s">
        <v>17</v>
      </c>
      <c r="AK4" s="403"/>
      <c r="AL4" s="139" t="s">
        <v>41</v>
      </c>
      <c r="AM4" s="94" t="s">
        <v>72</v>
      </c>
      <c r="AQ4" s="10" t="s">
        <v>236</v>
      </c>
    </row>
    <row r="5" spans="1:43" ht="22.5" customHeight="1" x14ac:dyDescent="0.25">
      <c r="A5" s="161">
        <v>1</v>
      </c>
      <c r="B5" s="39" t="str">
        <f>+'NOMINA MES'!B6</f>
        <v>20-17100571-0</v>
      </c>
      <c r="C5" s="173">
        <f>+'NOMINA MES'!C6</f>
        <v>1</v>
      </c>
      <c r="D5" s="40" t="str">
        <f>+'NOMINA MES'!D6</f>
        <v>PIRIZ, DARIO ALBERTO</v>
      </c>
      <c r="E5" s="38" t="str">
        <f>+'NOMINA MES'!E6</f>
        <v>COND 1°</v>
      </c>
      <c r="F5" s="248" t="str">
        <f>+'NOMINA MES'!F6</f>
        <v>CAMI STA FE</v>
      </c>
      <c r="G5" s="182">
        <f>+'NOMINA MES'!G6</f>
        <v>43283</v>
      </c>
      <c r="H5" s="38">
        <f>+'NOMINA MES'!H6</f>
        <v>6</v>
      </c>
      <c r="I5" s="38">
        <f>+'NOMINA MES'!I6</f>
        <v>100</v>
      </c>
      <c r="J5" s="204">
        <v>8</v>
      </c>
      <c r="K5" s="208">
        <f>+'NOMINA MES'!L6+'NOMINA MES'!M6</f>
        <v>22</v>
      </c>
      <c r="L5" s="51">
        <f>+'NOMINA MES'!AA6</f>
        <v>853895.70021333336</v>
      </c>
      <c r="M5" s="51">
        <f>+'NOMINA MES'!AE6</f>
        <v>198572.5362</v>
      </c>
      <c r="N5" s="210">
        <f>IF(L5&lt;N2,0,($N$3*I5/100)/30*K5)+IF(L5&lt;N2,0,(N3*I5/100)/2)*0</f>
        <v>5136.0320000000002</v>
      </c>
      <c r="O5" s="205">
        <f t="shared" ref="O5:O7" si="0">+L5-N5</f>
        <v>848759.66821333335</v>
      </c>
      <c r="P5" s="337">
        <f>+'NOMINA MES'!K6</f>
        <v>658381.37</v>
      </c>
      <c r="Q5" s="217">
        <f>(L5*100/I5*0.03)</f>
        <v>25616.871006400001</v>
      </c>
      <c r="R5" s="217">
        <f>(L5*100/I5*0.015)</f>
        <v>12808.4355032</v>
      </c>
      <c r="S5" s="217"/>
      <c r="T5" s="217">
        <f>('NOMINA MES'!K6)*0.02*1</f>
        <v>13167.627399999999</v>
      </c>
      <c r="U5" s="303">
        <f>+'NOMINA MES'!K6*0.005*1</f>
        <v>3291.9068499999998</v>
      </c>
      <c r="V5" s="303">
        <f>+'NOMINA MES'!K6*0.015*1</f>
        <v>9875.72055</v>
      </c>
      <c r="W5" s="147"/>
      <c r="X5" s="52">
        <v>1026</v>
      </c>
      <c r="Y5" s="52">
        <f>('CARGAS SOCIALES'!L5+'NOMINA MES'!AC6+'NOMINA MES'!AD6+'NOMINA MES'!AB6)*6.51/100</f>
        <v>68515.682190508</v>
      </c>
      <c r="Z5" s="52"/>
      <c r="AA5" s="52">
        <f>(O5)*10.77/100</f>
        <v>91411.416266575994</v>
      </c>
      <c r="AB5" s="52">
        <f>O5*1.59/100</f>
        <v>13495.278724592003</v>
      </c>
      <c r="AC5" s="52">
        <f>O5*4.7/100</f>
        <v>39891.704406026663</v>
      </c>
      <c r="AD5" s="52">
        <f>O5*0.94/100</f>
        <v>7978.3408812053331</v>
      </c>
      <c r="AE5" s="52">
        <f>+L5*0.02</f>
        <v>17077.914004266666</v>
      </c>
      <c r="AF5" s="42">
        <f t="shared" ref="AF5:AF6" si="1">IF(((L5)*100/I5)&lt;=2400,(((L5)*100/I5)*6/100)*10/100,(((L5)*100/I5)*6/100)*15/100)</f>
        <v>7685.0613019199991</v>
      </c>
      <c r="AG5" s="42">
        <f t="shared" ref="AG5:AG6" si="2">IF(((L5)*100/I5)&lt;=2400,(((L5)*100/I5)*6/100)*90/100,(((L5)*100/I5)*6/100)*85/100)</f>
        <v>43548.680710879991</v>
      </c>
      <c r="AH5" s="52">
        <f t="shared" ref="AH5:AH6" si="3">L5*11/100</f>
        <v>93928.527023466682</v>
      </c>
      <c r="AI5" s="52">
        <f t="shared" ref="AI5:AI6" si="4">L5*3/100</f>
        <v>25616.871006399997</v>
      </c>
      <c r="AJ5" s="42">
        <f>IF(((L5)*100/I5)&lt;=2400,(((L5)*100/I5)*3/100)*10/100,(((L5)*100/I5)*3/100)*15/100)</f>
        <v>3842.5306509599995</v>
      </c>
      <c r="AK5" s="42">
        <f t="shared" ref="AK5:AK6" si="5">IF(((L5)*100/I5)&lt;=2400,(((L5)*100/I5)*3/100)*90/100,(((L5)*100/I5)*3/100)*85/100)</f>
        <v>21774.340355439996</v>
      </c>
      <c r="AL5" s="52">
        <v>175.89</v>
      </c>
      <c r="AM5" s="51">
        <f>+'NOMINA MES'!AL6</f>
        <v>868881</v>
      </c>
      <c r="AO5" s="53"/>
      <c r="AQ5" s="16">
        <f>+T5+U5+V5+X5+Y5+AA5+AB5+AC5+AD5+AE5+AF5+AG5+AL5+W5</f>
        <v>317141.22328597459</v>
      </c>
    </row>
    <row r="6" spans="1:43" ht="22.5" customHeight="1" x14ac:dyDescent="0.3">
      <c r="A6" s="161">
        <v>2</v>
      </c>
      <c r="B6" s="39" t="s">
        <v>158</v>
      </c>
      <c r="C6" s="173">
        <v>2</v>
      </c>
      <c r="D6" s="40" t="s">
        <v>159</v>
      </c>
      <c r="E6" s="38" t="s">
        <v>133</v>
      </c>
      <c r="F6" s="247" t="s">
        <v>166</v>
      </c>
      <c r="G6" s="233">
        <v>43511</v>
      </c>
      <c r="H6" s="38">
        <f>+'NOMINA MES'!H7</f>
        <v>5</v>
      </c>
      <c r="I6" s="38">
        <v>100</v>
      </c>
      <c r="J6" s="204">
        <v>8</v>
      </c>
      <c r="K6" s="208">
        <f>+'NOMINA MES'!L7+'NOMINA MES'!M7</f>
        <v>22</v>
      </c>
      <c r="L6" s="51">
        <f>+'NOMINA MES'!AA7</f>
        <v>845840.08039999998</v>
      </c>
      <c r="M6" s="51">
        <f>+'NOMINA MES'!AE7</f>
        <v>198572.5362</v>
      </c>
      <c r="N6" s="210">
        <f>IF(L6&lt;N2,0,($N$3*I6/100)/30*K6)+IF(L6&lt;N2,0,(N3*I6/100)/2)*0</f>
        <v>5136.0320000000002</v>
      </c>
      <c r="O6" s="205">
        <f t="shared" si="0"/>
        <v>840704.04839999997</v>
      </c>
      <c r="P6" s="95"/>
      <c r="Q6" s="246">
        <f>(L6*100/I6*0.03)</f>
        <v>25375.202411999995</v>
      </c>
      <c r="R6" s="246">
        <f>(L6*100/I6*0.015)</f>
        <v>12687.601205999998</v>
      </c>
      <c r="S6" s="246"/>
      <c r="T6" s="246">
        <f>('NOMINA MES'!K7)*0.02*1</f>
        <v>13167.627399999999</v>
      </c>
      <c r="U6" s="303">
        <f>+'NOMINA MES'!K7*0.005*1</f>
        <v>3291.9068499999998</v>
      </c>
      <c r="V6" s="303">
        <f>+'NOMINA MES'!K7*0.015*1</f>
        <v>9875.72055</v>
      </c>
      <c r="W6" s="303">
        <v>14000</v>
      </c>
      <c r="X6" s="52">
        <f>+X5</f>
        <v>1026</v>
      </c>
      <c r="Y6" s="52">
        <f>('CARGAS SOCIALES'!L6+'NOMINA MES'!AC7+'NOMINA MES'!AD7+'NOMINA MES'!AB7)*6.51/100</f>
        <v>67991.261340659999</v>
      </c>
      <c r="Z6" s="52"/>
      <c r="AA6" s="52">
        <f>(O6)*10.77/100</f>
        <v>90543.826012679987</v>
      </c>
      <c r="AB6" s="52">
        <f>O6*1.59/100</f>
        <v>13367.19436956</v>
      </c>
      <c r="AC6" s="52">
        <f>O6*4.7/100</f>
        <v>39513.090274800001</v>
      </c>
      <c r="AD6" s="52">
        <f>O6*0.94/100</f>
        <v>7902.6180549599985</v>
      </c>
      <c r="AE6" s="52">
        <f>+L6*0.02</f>
        <v>16916.801608000002</v>
      </c>
      <c r="AF6" s="42">
        <f t="shared" si="1"/>
        <v>7612.5607235999987</v>
      </c>
      <c r="AG6" s="42">
        <f t="shared" si="2"/>
        <v>43137.844100399998</v>
      </c>
      <c r="AH6" s="52">
        <f t="shared" si="3"/>
        <v>93042.40884399999</v>
      </c>
      <c r="AI6" s="52">
        <f t="shared" si="4"/>
        <v>25375.202411999999</v>
      </c>
      <c r="AJ6" s="42">
        <f>IF(((L6)*100/I6)&lt;=2400,(((L6)*100/I6)*3/100)*10/100,(((L6)*100/I6)*3/100)*15/100)</f>
        <v>3806.2803617999994</v>
      </c>
      <c r="AK6" s="42">
        <f t="shared" si="5"/>
        <v>21568.922050199999</v>
      </c>
      <c r="AL6" s="52">
        <f>+AL5</f>
        <v>175.89</v>
      </c>
      <c r="AM6" s="51">
        <f>+'NOMINA MES'!AL7</f>
        <v>862557</v>
      </c>
      <c r="AO6" s="53"/>
      <c r="AQ6" s="16">
        <f t="shared" ref="AQ6:AQ7" si="6">+T6+U6+V6+X6+Y6+AA6+AB6+AC6+AD6+AE6+AF6+AG6+AL6+W6</f>
        <v>328522.34128465998</v>
      </c>
    </row>
    <row r="7" spans="1:43" s="10" customFormat="1" ht="22.5" customHeight="1" x14ac:dyDescent="0.3">
      <c r="A7" s="161">
        <v>4</v>
      </c>
      <c r="B7" s="39" t="s">
        <v>191</v>
      </c>
      <c r="C7" s="173">
        <v>4</v>
      </c>
      <c r="D7" s="40" t="s">
        <v>192</v>
      </c>
      <c r="E7" s="38" t="s">
        <v>193</v>
      </c>
      <c r="F7" s="307"/>
      <c r="G7" s="233">
        <v>44317</v>
      </c>
      <c r="H7" s="38"/>
      <c r="I7" s="38">
        <v>100</v>
      </c>
      <c r="J7" s="204"/>
      <c r="K7" s="208">
        <v>30</v>
      </c>
      <c r="L7" s="51">
        <f>+'NOMINA MES'!AA8</f>
        <v>800000</v>
      </c>
      <c r="M7" s="254">
        <v>0</v>
      </c>
      <c r="N7" s="210"/>
      <c r="O7" s="308">
        <f t="shared" si="0"/>
        <v>800000</v>
      </c>
      <c r="P7" s="183"/>
      <c r="Q7" s="309"/>
      <c r="R7" s="309"/>
      <c r="S7" s="310"/>
      <c r="T7" s="309"/>
      <c r="U7" s="309"/>
      <c r="V7" s="309"/>
      <c r="W7" s="309"/>
      <c r="X7" s="52">
        <f>+X5</f>
        <v>1026</v>
      </c>
      <c r="Y7" s="52">
        <f>('CARGAS SOCIALES'!L7+'NOMINA MES'!AC8+'NOMINA MES'!AD8+'NOMINA MES'!AB8)*6.51/100</f>
        <v>52080</v>
      </c>
      <c r="Z7" s="42"/>
      <c r="AA7" s="311"/>
      <c r="AB7" s="311"/>
      <c r="AC7" s="311"/>
      <c r="AD7" s="311"/>
      <c r="AE7" s="311"/>
      <c r="AF7" s="311"/>
      <c r="AG7" s="311"/>
      <c r="AH7" s="311"/>
      <c r="AI7" s="311"/>
      <c r="AJ7" s="311"/>
      <c r="AK7" s="311"/>
      <c r="AL7" s="52">
        <f>+AL5</f>
        <v>175.89</v>
      </c>
      <c r="AM7" s="254">
        <v>150000</v>
      </c>
      <c r="AO7" s="286"/>
      <c r="AQ7" s="16">
        <f t="shared" si="6"/>
        <v>53281.89</v>
      </c>
    </row>
    <row r="8" spans="1:43" s="44" customFormat="1" ht="21" customHeight="1" x14ac:dyDescent="0.3">
      <c r="A8" s="252">
        <f>COUNT(A5:A7)</f>
        <v>3</v>
      </c>
      <c r="B8" s="125"/>
      <c r="C8" s="124"/>
      <c r="D8" s="126"/>
      <c r="E8" s="124"/>
      <c r="F8" s="176"/>
      <c r="G8" s="127"/>
      <c r="H8" s="129"/>
      <c r="I8" s="124"/>
      <c r="J8" s="124"/>
      <c r="K8" s="124"/>
      <c r="L8" s="93">
        <f>SUM(L5:L7)</f>
        <v>2499735.7806133335</v>
      </c>
      <c r="M8" s="93">
        <f>SUM(M5:M7)</f>
        <v>397145.0724</v>
      </c>
      <c r="N8" s="93">
        <f>SUM(N5:N7)</f>
        <v>10272.064</v>
      </c>
      <c r="O8" s="207">
        <f>SUMIF(N5:N7,"&gt;0",O5:O7)</f>
        <v>1689463.7166133332</v>
      </c>
      <c r="P8" s="95"/>
      <c r="Q8" s="93">
        <f t="shared" ref="Q8:AM8" si="7">SUM(Q5:Q7)</f>
        <v>50992.073418399996</v>
      </c>
      <c r="R8" s="93">
        <f t="shared" si="7"/>
        <v>25496.036709199998</v>
      </c>
      <c r="S8" s="93">
        <f t="shared" si="7"/>
        <v>0</v>
      </c>
      <c r="T8" s="93">
        <f t="shared" si="7"/>
        <v>26335.254799999999</v>
      </c>
      <c r="U8" s="93">
        <f t="shared" si="7"/>
        <v>6583.8136999999997</v>
      </c>
      <c r="V8" s="93">
        <f t="shared" si="7"/>
        <v>19751.4411</v>
      </c>
      <c r="W8" s="93">
        <f t="shared" si="7"/>
        <v>14000</v>
      </c>
      <c r="X8" s="93">
        <f t="shared" si="7"/>
        <v>3078</v>
      </c>
      <c r="Y8" s="93">
        <f t="shared" si="7"/>
        <v>188586.94353116798</v>
      </c>
      <c r="Z8" s="93">
        <f t="shared" si="7"/>
        <v>0</v>
      </c>
      <c r="AA8" s="93">
        <f t="shared" si="7"/>
        <v>181955.242279256</v>
      </c>
      <c r="AB8" s="93">
        <f t="shared" si="7"/>
        <v>26862.473094152003</v>
      </c>
      <c r="AC8" s="93">
        <f t="shared" si="7"/>
        <v>79404.794680826657</v>
      </c>
      <c r="AD8" s="93">
        <f t="shared" si="7"/>
        <v>15880.958936165331</v>
      </c>
      <c r="AE8" s="93">
        <f t="shared" si="7"/>
        <v>33994.715612266664</v>
      </c>
      <c r="AF8" s="93">
        <f t="shared" si="7"/>
        <v>15297.622025519999</v>
      </c>
      <c r="AG8" s="93">
        <f t="shared" si="7"/>
        <v>86686.524811279989</v>
      </c>
      <c r="AH8" s="93">
        <f t="shared" si="7"/>
        <v>186970.93586746667</v>
      </c>
      <c r="AI8" s="93">
        <f t="shared" si="7"/>
        <v>50992.073418399996</v>
      </c>
      <c r="AJ8" s="93">
        <f t="shared" si="7"/>
        <v>7648.8110127599994</v>
      </c>
      <c r="AK8" s="93">
        <f t="shared" si="7"/>
        <v>43343.262405639995</v>
      </c>
      <c r="AL8" s="93">
        <f t="shared" si="7"/>
        <v>527.66999999999996</v>
      </c>
      <c r="AM8" s="93">
        <f t="shared" si="7"/>
        <v>1881438</v>
      </c>
    </row>
    <row r="9" spans="1:43" s="20" customFormat="1" ht="17.25" customHeight="1" x14ac:dyDescent="0.3">
      <c r="A9" s="112"/>
      <c r="B9" s="54"/>
      <c r="C9" s="54"/>
      <c r="D9" s="54"/>
      <c r="E9" s="54"/>
      <c r="F9" s="54"/>
      <c r="G9" s="54"/>
      <c r="H9" s="54"/>
      <c r="I9" s="54"/>
      <c r="J9" s="54"/>
      <c r="K9" s="175"/>
      <c r="L9" s="175"/>
      <c r="M9" s="175"/>
      <c r="N9" s="175"/>
      <c r="O9" s="175"/>
      <c r="P9" s="95"/>
      <c r="Q9" s="54"/>
      <c r="S9" s="55"/>
      <c r="T9" s="93">
        <f>+Q8+R8+T8</f>
        <v>102823.36492759999</v>
      </c>
      <c r="V9" s="93">
        <f>+U8+V8</f>
        <v>26335.254799999999</v>
      </c>
      <c r="W9" s="366"/>
      <c r="Z9" s="253" t="s">
        <v>169</v>
      </c>
      <c r="AA9" s="254">
        <f>IF(OR($A$8=25,$A$8&lt;25),-10000*10.77/100,0)</f>
        <v>-1077</v>
      </c>
      <c r="AB9" s="254">
        <f>IF(OR($A$8=25,$A$8&lt;25),-10000*1.59/100,0)</f>
        <v>-159</v>
      </c>
      <c r="AC9" s="254">
        <f>IF(OR($A$8=25,$A$8&lt;25),-10000*4.7/100,0)</f>
        <v>-470</v>
      </c>
      <c r="AD9" s="254">
        <f>IF(OR($A$8=25,$A$8&lt;25),-10000*0.94/100,0)</f>
        <v>-94</v>
      </c>
      <c r="AF9" s="55"/>
      <c r="AG9" s="55"/>
      <c r="AM9" s="113"/>
    </row>
    <row r="10" spans="1:43" s="20" customFormat="1" ht="17.25" customHeight="1" thickBot="1" x14ac:dyDescent="0.35">
      <c r="A10" s="112"/>
      <c r="B10" s="54"/>
      <c r="C10" s="54"/>
      <c r="D10" s="54"/>
      <c r="E10" s="54"/>
      <c r="F10" s="54"/>
      <c r="G10" s="54"/>
      <c r="H10" s="54"/>
      <c r="I10" s="54"/>
      <c r="J10" s="54"/>
      <c r="K10" s="175"/>
      <c r="L10" s="175"/>
      <c r="M10" s="175"/>
      <c r="N10" s="175"/>
      <c r="O10" s="175"/>
      <c r="P10" s="95"/>
      <c r="Q10" s="54"/>
      <c r="U10" s="410" t="s">
        <v>187</v>
      </c>
      <c r="V10" s="410"/>
      <c r="W10" s="366"/>
      <c r="Y10" s="55"/>
      <c r="Z10" s="255"/>
      <c r="AA10" s="207">
        <f>+AA8+AA9</f>
        <v>180878.242279256</v>
      </c>
      <c r="AB10" s="207">
        <f t="shared" ref="AB10:AD10" si="8">+AB8+AB9</f>
        <v>26703.473094152003</v>
      </c>
      <c r="AC10" s="207">
        <f t="shared" si="8"/>
        <v>78934.794680826657</v>
      </c>
      <c r="AD10" s="207">
        <f t="shared" si="8"/>
        <v>15786.958936165331</v>
      </c>
      <c r="AF10" s="55"/>
      <c r="AG10" s="55"/>
      <c r="AM10" s="113"/>
    </row>
    <row r="11" spans="1:43" s="10" customFormat="1" ht="15" thickBot="1" x14ac:dyDescent="0.25">
      <c r="A11" s="49"/>
      <c r="B11" s="150"/>
      <c r="C11" s="151"/>
      <c r="D11" s="152"/>
      <c r="E11" s="20"/>
      <c r="F11" s="20"/>
      <c r="G11" s="20"/>
      <c r="H11" s="20"/>
      <c r="I11" s="20"/>
      <c r="J11" s="20"/>
      <c r="K11" s="55"/>
      <c r="L11" s="175"/>
      <c r="M11" s="3"/>
      <c r="N11" s="7"/>
      <c r="O11" s="7"/>
      <c r="P11" s="358"/>
      <c r="Q11" s="55"/>
      <c r="R11" s="20"/>
      <c r="S11" s="20"/>
      <c r="T11" s="285"/>
      <c r="U11" s="410"/>
      <c r="V11" s="410"/>
      <c r="W11" s="366"/>
      <c r="X11" s="20"/>
      <c r="Y11" s="55"/>
      <c r="Z11" s="55"/>
      <c r="AA11" s="20"/>
      <c r="AB11" s="153"/>
      <c r="AC11" s="153"/>
      <c r="AD11" s="153"/>
      <c r="AE11" s="153"/>
      <c r="AF11" s="153"/>
      <c r="AG11" s="153"/>
      <c r="AH11" s="153"/>
      <c r="AI11" s="153"/>
      <c r="AJ11" s="153"/>
      <c r="AM11" s="103"/>
      <c r="AO11" s="49"/>
    </row>
    <row r="12" spans="1:43" s="10" customFormat="1" ht="16.5" thickBot="1" x14ac:dyDescent="0.25">
      <c r="A12" s="49"/>
      <c r="B12" s="396" t="s">
        <v>116</v>
      </c>
      <c r="C12" s="397"/>
      <c r="D12" s="154">
        <f>+M8</f>
        <v>397145.0724</v>
      </c>
      <c r="E12" s="20"/>
      <c r="F12" s="20"/>
      <c r="G12" s="20"/>
      <c r="H12" s="20"/>
      <c r="I12" s="20"/>
      <c r="J12" s="20"/>
      <c r="K12" s="20"/>
      <c r="L12" s="55"/>
      <c r="M12" s="3"/>
      <c r="N12" s="3"/>
      <c r="O12" s="3"/>
      <c r="P12" s="3"/>
      <c r="Q12" s="188" t="s">
        <v>144</v>
      </c>
      <c r="R12" s="55"/>
      <c r="S12" s="55"/>
      <c r="T12" s="295">
        <f>+Q5+R5+T5</f>
        <v>51592.933909599997</v>
      </c>
      <c r="U12" s="55"/>
      <c r="V12" s="155"/>
      <c r="W12" s="155"/>
      <c r="AD12" s="155" t="s">
        <v>44</v>
      </c>
      <c r="AE12" s="359">
        <f>+AH8+AI8+AJ8</f>
        <v>245611.82029862667</v>
      </c>
      <c r="AF12" s="360"/>
      <c r="AG12" s="361"/>
      <c r="AH12" s="362" t="s">
        <v>45</v>
      </c>
      <c r="AI12" s="359">
        <f>+AK8</f>
        <v>43343.262405639995</v>
      </c>
      <c r="AJ12" s="153"/>
      <c r="AM12" s="20"/>
      <c r="AO12" s="49"/>
    </row>
    <row r="13" spans="1:43" s="10" customFormat="1" ht="15.75" thickBot="1" x14ac:dyDescent="0.25">
      <c r="A13" s="20"/>
      <c r="B13" s="156"/>
      <c r="D13" s="157"/>
      <c r="E13" s="44"/>
      <c r="F13" s="44"/>
      <c r="L13" s="55"/>
      <c r="M13" s="179"/>
      <c r="N13" s="179"/>
      <c r="O13" s="291"/>
      <c r="P13" s="179"/>
      <c r="Q13" s="188" t="s">
        <v>145</v>
      </c>
      <c r="R13" s="20"/>
      <c r="S13" s="20"/>
      <c r="T13" s="296">
        <f>+Q6+R6+T6+S6</f>
        <v>51230.431017999988</v>
      </c>
      <c r="U13" s="20"/>
      <c r="V13" s="318"/>
      <c r="W13" s="318"/>
      <c r="X13" s="153"/>
      <c r="AD13" s="158"/>
      <c r="AE13" s="363"/>
      <c r="AF13" s="360"/>
      <c r="AG13" s="361"/>
      <c r="AH13" s="364"/>
      <c r="AI13" s="365"/>
      <c r="AJ13" s="153"/>
      <c r="AM13" s="179"/>
      <c r="AO13" s="49"/>
    </row>
    <row r="14" spans="1:43" s="10" customFormat="1" ht="16.5" customHeight="1" thickBot="1" x14ac:dyDescent="0.25">
      <c r="A14" s="20"/>
      <c r="B14" s="396" t="s">
        <v>117</v>
      </c>
      <c r="C14" s="397"/>
      <c r="D14" s="154">
        <f>+T8+U8+V8</f>
        <v>52670.509600000005</v>
      </c>
      <c r="H14" s="153"/>
      <c r="M14" s="218" t="s">
        <v>148</v>
      </c>
      <c r="N14" s="68"/>
      <c r="O14" s="68"/>
      <c r="P14" s="15"/>
      <c r="Q14" s="188" t="s">
        <v>163</v>
      </c>
      <c r="R14" s="15"/>
      <c r="S14" s="15"/>
      <c r="T14" s="368">
        <f>+U5+V5</f>
        <v>13167.627399999999</v>
      </c>
      <c r="U14" s="304">
        <f>+T14+T15</f>
        <v>26335.254799999999</v>
      </c>
      <c r="V14" s="44"/>
      <c r="W14" s="44"/>
      <c r="AD14" s="155" t="s">
        <v>46</v>
      </c>
      <c r="AE14" s="359">
        <f>SUM(AA8:AF8)+SUM(AA9:AD9)</f>
        <v>351595.80662818666</v>
      </c>
      <c r="AF14" s="360"/>
      <c r="AG14" s="361"/>
      <c r="AH14" s="362" t="s">
        <v>118</v>
      </c>
      <c r="AI14" s="359">
        <f>+AG8</f>
        <v>86686.524811279989</v>
      </c>
      <c r="AJ14" s="153"/>
      <c r="AM14" s="49"/>
      <c r="AO14" s="49"/>
    </row>
    <row r="15" spans="1:43" s="10" customFormat="1" ht="15.75" thickBot="1" x14ac:dyDescent="0.25">
      <c r="A15" s="20"/>
      <c r="B15" s="156"/>
      <c r="D15" s="157"/>
      <c r="M15" s="68" t="s">
        <v>149</v>
      </c>
      <c r="N15" s="68"/>
      <c r="O15" s="219">
        <f>IF(SUM(AA9:AD9)&lt;0,O8-10000,O8)</f>
        <v>1679463.7166133332</v>
      </c>
      <c r="P15" s="16"/>
      <c r="Q15" s="188" t="s">
        <v>164</v>
      </c>
      <c r="R15" s="15"/>
      <c r="S15" s="15"/>
      <c r="T15" s="302">
        <f>+U6+V6</f>
        <v>13167.627399999999</v>
      </c>
      <c r="V15" s="44"/>
      <c r="W15" s="44"/>
      <c r="Y15" s="153"/>
      <c r="Z15" s="153"/>
      <c r="AD15" s="158"/>
      <c r="AE15" s="363"/>
      <c r="AF15" s="360"/>
      <c r="AG15" s="361"/>
      <c r="AH15" s="364"/>
      <c r="AI15" s="363"/>
      <c r="AJ15" s="153"/>
      <c r="AM15" s="180"/>
      <c r="AO15" s="49"/>
    </row>
    <row r="16" spans="1:43" s="10" customFormat="1" ht="16.5" thickBot="1" x14ac:dyDescent="0.25">
      <c r="A16" s="20"/>
      <c r="B16" s="396" t="s">
        <v>48</v>
      </c>
      <c r="C16" s="397"/>
      <c r="D16" s="154">
        <f>+'NOMINA MES'!AI9</f>
        <v>0</v>
      </c>
      <c r="H16" s="44"/>
      <c r="I16" s="44"/>
      <c r="J16" s="44"/>
      <c r="K16" s="44"/>
      <c r="M16" s="68" t="s">
        <v>150</v>
      </c>
      <c r="N16" s="68"/>
      <c r="O16" s="220">
        <v>2.2000000000000002</v>
      </c>
      <c r="P16" s="16"/>
      <c r="Q16" s="15"/>
      <c r="R16" s="15"/>
      <c r="S16" s="15"/>
      <c r="T16" s="15"/>
      <c r="U16" s="15"/>
      <c r="AD16" s="155" t="s">
        <v>47</v>
      </c>
      <c r="AE16" s="359">
        <f>+AL8</f>
        <v>527.66999999999996</v>
      </c>
      <c r="AF16" s="360" t="s">
        <v>225</v>
      </c>
      <c r="AG16" s="361"/>
      <c r="AH16" s="362" t="s">
        <v>8</v>
      </c>
      <c r="AI16" s="359">
        <f>+X8+Y8</f>
        <v>191664.94353116798</v>
      </c>
      <c r="AJ16" s="153"/>
      <c r="AK16" s="153"/>
      <c r="AM16" s="180"/>
      <c r="AN16"/>
      <c r="AO16" s="49"/>
    </row>
    <row r="17" spans="1:41" s="10" customFormat="1" ht="15.75" thickBot="1" x14ac:dyDescent="0.3">
      <c r="A17" s="20"/>
      <c r="B17" s="159"/>
      <c r="C17" s="98"/>
      <c r="D17" s="160"/>
      <c r="M17" s="221" t="s">
        <v>151</v>
      </c>
      <c r="N17" s="68"/>
      <c r="O17" s="222">
        <f>+O15*O16/100</f>
        <v>36948.20176549333</v>
      </c>
      <c r="P17" s="16"/>
      <c r="Q17" s="15"/>
      <c r="R17" s="15"/>
      <c r="S17" s="15"/>
      <c r="T17" s="15"/>
      <c r="U17" s="15"/>
      <c r="V17" s="15"/>
      <c r="W17" s="15"/>
      <c r="X17" s="290"/>
      <c r="AF17" s="153"/>
      <c r="AJ17" s="153"/>
      <c r="AK17" s="153"/>
      <c r="AM17" s="181"/>
      <c r="AN17"/>
      <c r="AO17" s="49"/>
    </row>
    <row r="18" spans="1:41" s="10" customFormat="1" ht="16.5" customHeight="1" thickBot="1" x14ac:dyDescent="0.25">
      <c r="A18" s="20"/>
      <c r="L18" s="68"/>
      <c r="M18" s="68"/>
      <c r="N18" s="68"/>
      <c r="O18" s="68"/>
      <c r="P18" s="16"/>
      <c r="Q18" s="188"/>
      <c r="R18" s="294"/>
      <c r="S18" s="294"/>
      <c r="T18" s="294">
        <f>+U5/0.5%</f>
        <v>658381.37</v>
      </c>
      <c r="U18" s="15"/>
      <c r="V18" s="289"/>
      <c r="W18" s="289"/>
      <c r="AD18" s="155" t="s">
        <v>226</v>
      </c>
      <c r="AE18" s="348">
        <f>+M23</f>
        <v>10086.4</v>
      </c>
      <c r="AF18" s="153"/>
      <c r="AG18" s="153"/>
      <c r="AH18" s="56" t="s">
        <v>18</v>
      </c>
      <c r="AI18" s="347">
        <f>+AE12+AE14+AE16+AI12+AI14+AI16-AE18-AE20</f>
        <v>883578.35767490126</v>
      </c>
      <c r="AJ18" s="317" t="s">
        <v>240</v>
      </c>
      <c r="AM18" s="20"/>
      <c r="AN18"/>
      <c r="AO18" s="49"/>
    </row>
    <row r="19" spans="1:41" s="10" customFormat="1" ht="16.5" thickBot="1" x14ac:dyDescent="0.25">
      <c r="A19" s="20"/>
      <c r="C19" s="44"/>
      <c r="D19" s="44"/>
      <c r="E19" s="44"/>
      <c r="F19" s="44"/>
      <c r="L19" s="223"/>
      <c r="M19" s="68"/>
      <c r="N19" s="224" t="s">
        <v>152</v>
      </c>
      <c r="O19" s="225">
        <f>+O8-O15+SUM(AA9:AD9)/0.18</f>
        <v>0</v>
      </c>
      <c r="P19" s="15"/>
      <c r="Q19" s="15"/>
      <c r="R19" s="294"/>
      <c r="S19" s="294"/>
      <c r="T19" s="294"/>
      <c r="U19" s="15"/>
      <c r="V19" s="289"/>
      <c r="W19" s="289"/>
      <c r="AF19" s="153"/>
      <c r="AH19" s="20"/>
      <c r="AI19" s="370"/>
      <c r="AJ19" s="153"/>
      <c r="AN19"/>
      <c r="AO19" s="49"/>
    </row>
    <row r="20" spans="1:41" ht="16.5" thickBot="1" x14ac:dyDescent="0.3">
      <c r="B20" s="338" t="s">
        <v>212</v>
      </c>
      <c r="C20" s="338" t="s">
        <v>213</v>
      </c>
      <c r="D20" s="338" t="s">
        <v>214</v>
      </c>
      <c r="E20" s="338" t="s">
        <v>215</v>
      </c>
      <c r="F20" s="338" t="s">
        <v>216</v>
      </c>
      <c r="G20" s="338" t="s">
        <v>217</v>
      </c>
      <c r="H20" s="338" t="s">
        <v>218</v>
      </c>
      <c r="I20" s="338" t="s">
        <v>219</v>
      </c>
      <c r="J20" s="338" t="s">
        <v>220</v>
      </c>
      <c r="K20" s="338" t="s">
        <v>221</v>
      </c>
      <c r="L20" s="338" t="s">
        <v>222</v>
      </c>
      <c r="M20" s="338" t="s">
        <v>207</v>
      </c>
      <c r="N20" s="338" t="s">
        <v>3</v>
      </c>
      <c r="O20"/>
      <c r="R20" s="294"/>
      <c r="S20" s="294"/>
      <c r="T20" s="294"/>
      <c r="U20" s="16"/>
      <c r="Z20" s="10" t="s">
        <v>181</v>
      </c>
      <c r="AA20" s="44"/>
      <c r="AB20" s="44"/>
      <c r="AC20" s="44"/>
      <c r="AD20" s="341" t="s">
        <v>227</v>
      </c>
      <c r="AE20" s="342">
        <f>IF(AE23*0.3&gt;SUM(AA10)*0.15,SUM(AA10)*0.15,AE23*0.3)*0+25765.27</f>
        <v>25765.27</v>
      </c>
      <c r="AF20" s="44"/>
      <c r="AG20" s="343"/>
      <c r="AI20" s="374" t="s">
        <v>247</v>
      </c>
      <c r="AJ20" s="378"/>
      <c r="AN20"/>
    </row>
    <row r="21" spans="1:41" x14ac:dyDescent="0.2">
      <c r="B21" s="386" t="s">
        <v>252</v>
      </c>
      <c r="C21" s="386" t="s">
        <v>253</v>
      </c>
      <c r="D21" s="386" t="s">
        <v>254</v>
      </c>
      <c r="E21" s="386" t="s">
        <v>255</v>
      </c>
      <c r="F21" s="386" t="s">
        <v>256</v>
      </c>
      <c r="G21" s="386" t="s">
        <v>257</v>
      </c>
      <c r="H21" s="386" t="s">
        <v>258</v>
      </c>
      <c r="I21" s="386" t="s">
        <v>259</v>
      </c>
      <c r="J21" s="386" t="s">
        <v>260</v>
      </c>
      <c r="K21" s="386">
        <v>982.4</v>
      </c>
      <c r="L21" s="386">
        <v>982.4</v>
      </c>
      <c r="M21" s="386">
        <v>982.4</v>
      </c>
      <c r="N21" s="386" t="s">
        <v>261</v>
      </c>
      <c r="O21"/>
      <c r="AA21" s="44"/>
      <c r="AB21" s="44"/>
      <c r="AC21" s="44"/>
      <c r="AD21" s="44"/>
      <c r="AE21" s="62"/>
      <c r="AF21" s="62"/>
      <c r="AG21" s="62"/>
      <c r="AI21" s="16" t="s">
        <v>248</v>
      </c>
      <c r="AN21"/>
    </row>
    <row r="22" spans="1:41" ht="13.5" thickBot="1" x14ac:dyDescent="0.25">
      <c r="B22" s="386" t="s">
        <v>252</v>
      </c>
      <c r="C22" s="386" t="s">
        <v>253</v>
      </c>
      <c r="D22" s="386" t="s">
        <v>254</v>
      </c>
      <c r="E22" s="386" t="s">
        <v>255</v>
      </c>
      <c r="F22" s="386" t="s">
        <v>256</v>
      </c>
      <c r="G22" s="386" t="s">
        <v>257</v>
      </c>
      <c r="H22" s="386" t="s">
        <v>262</v>
      </c>
      <c r="I22" s="386" t="s">
        <v>263</v>
      </c>
      <c r="J22" s="386" t="s">
        <v>260</v>
      </c>
      <c r="K22" s="386">
        <v>9104</v>
      </c>
      <c r="L22" s="386">
        <v>9104</v>
      </c>
      <c r="M22" s="386">
        <v>9104</v>
      </c>
      <c r="N22" s="386" t="s">
        <v>261</v>
      </c>
      <c r="O22" s="16"/>
      <c r="AA22" s="44"/>
      <c r="AB22" s="44"/>
      <c r="AC22" s="44"/>
      <c r="AD22" s="44"/>
      <c r="AE22" s="62"/>
      <c r="AF22" s="62"/>
      <c r="AG22" s="44"/>
      <c r="AN22"/>
    </row>
    <row r="23" spans="1:41" ht="16.5" thickBot="1" x14ac:dyDescent="0.25">
      <c r="M23" s="16">
        <f>SUM(M21:M22)</f>
        <v>10086.4</v>
      </c>
      <c r="N23" s="16"/>
      <c r="O23" s="16"/>
      <c r="Z23" s="3"/>
      <c r="AA23" s="344"/>
      <c r="AB23" s="344"/>
      <c r="AC23" s="344"/>
      <c r="AD23" s="345" t="s">
        <v>228</v>
      </c>
      <c r="AE23" s="346">
        <v>141626.38</v>
      </c>
      <c r="AF23" s="382">
        <v>45602</v>
      </c>
      <c r="AG23" s="44" t="s">
        <v>229</v>
      </c>
      <c r="AI23" s="16"/>
      <c r="AN23"/>
    </row>
    <row r="24" spans="1:41" x14ac:dyDescent="0.2">
      <c r="M24" s="16"/>
      <c r="N24" s="16"/>
      <c r="O24" s="16"/>
      <c r="Z24" s="3"/>
      <c r="AA24" s="395" t="s">
        <v>230</v>
      </c>
      <c r="AB24" s="395"/>
      <c r="AC24" s="395"/>
      <c r="AD24" s="395"/>
      <c r="AE24" s="395"/>
      <c r="AF24" s="44"/>
      <c r="AG24" s="44" t="s">
        <v>231</v>
      </c>
      <c r="AN24"/>
    </row>
    <row r="25" spans="1:41" x14ac:dyDescent="0.2">
      <c r="Z25" s="3"/>
      <c r="AA25" s="395"/>
      <c r="AB25" s="395"/>
      <c r="AC25" s="395"/>
      <c r="AD25" s="395"/>
      <c r="AE25" s="395"/>
      <c r="AF25" s="44"/>
      <c r="AG25" s="44"/>
      <c r="AN25"/>
    </row>
    <row r="26" spans="1:41" ht="12.75" customHeight="1" x14ac:dyDescent="0.2">
      <c r="Z26" s="3"/>
      <c r="AA26" s="395"/>
      <c r="AB26" s="395"/>
      <c r="AC26" s="395"/>
      <c r="AD26" s="395"/>
      <c r="AE26" s="395"/>
      <c r="AF26" s="44"/>
      <c r="AG26" s="44"/>
      <c r="AN26"/>
    </row>
    <row r="27" spans="1:41" ht="12.75" customHeight="1" x14ac:dyDescent="0.2">
      <c r="Z27" s="3"/>
      <c r="AG27" s="10"/>
      <c r="AN27"/>
    </row>
    <row r="28" spans="1:41" ht="18.75" customHeight="1" x14ac:dyDescent="0.2">
      <c r="Z28" s="3"/>
      <c r="AG28" s="10"/>
      <c r="AI28" s="16"/>
      <c r="AN28"/>
    </row>
    <row r="29" spans="1:41" ht="12.75" customHeight="1" x14ac:dyDescent="0.2">
      <c r="Z29" s="3"/>
      <c r="AG29" s="10"/>
      <c r="AN29"/>
    </row>
    <row r="30" spans="1:41" ht="12.75" customHeight="1" x14ac:dyDescent="0.2">
      <c r="AG30" s="20"/>
      <c r="AN30"/>
    </row>
    <row r="31" spans="1:41" ht="12.75" customHeight="1" x14ac:dyDescent="0.2">
      <c r="AN31"/>
    </row>
    <row r="32" spans="1:41" ht="12.75" customHeight="1" x14ac:dyDescent="0.2">
      <c r="AN32"/>
    </row>
    <row r="33" spans="40:40" ht="12.75" customHeight="1" x14ac:dyDescent="0.2">
      <c r="AN33"/>
    </row>
    <row r="34" spans="40:40" ht="12.75" customHeight="1" x14ac:dyDescent="0.2">
      <c r="AN34"/>
    </row>
    <row r="36" spans="40:40" ht="12.75" customHeight="1" x14ac:dyDescent="0.2">
      <c r="AN36" s="15">
        <f>SUM(AN16:AN34)</f>
        <v>0</v>
      </c>
    </row>
    <row r="65505" spans="7:7" x14ac:dyDescent="0.2">
      <c r="G65505" s="16"/>
    </row>
  </sheetData>
  <mergeCells count="12">
    <mergeCell ref="AK3:AK4"/>
    <mergeCell ref="B12:C12"/>
    <mergeCell ref="X3:Y3"/>
    <mergeCell ref="AA3:AF3"/>
    <mergeCell ref="Z3:Z4"/>
    <mergeCell ref="U10:V11"/>
    <mergeCell ref="Q3:W3"/>
    <mergeCell ref="AA24:AE26"/>
    <mergeCell ref="B16:C16"/>
    <mergeCell ref="B14:C14"/>
    <mergeCell ref="AG3:AG4"/>
    <mergeCell ref="AH3:AJ3"/>
  </mergeCells>
  <pageMargins left="0.15748031496062992" right="0.15748031496062992" top="0.59055118110236227" bottom="0.35433070866141736" header="0.31496062992125984" footer="0.31496062992125984"/>
  <pageSetup paperSize="9" scale="3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
  <sheetViews>
    <sheetView workbookViewId="0">
      <selection activeCell="A3" sqref="A3"/>
    </sheetView>
  </sheetViews>
  <sheetFormatPr baseColWidth="10" defaultRowHeight="12.75" x14ac:dyDescent="0.2"/>
  <cols>
    <col min="1" max="1" width="3.7109375" customWidth="1"/>
    <col min="2" max="2" width="14" customWidth="1"/>
    <col min="3" max="3" width="28" bestFit="1" customWidth="1"/>
    <col min="4" max="4" width="10.140625" customWidth="1"/>
    <col min="5" max="5" width="10" customWidth="1"/>
    <col min="6" max="7" width="11" customWidth="1"/>
    <col min="8" max="12" width="11.7109375" bestFit="1" customWidth="1"/>
    <col min="13" max="14" width="9.85546875" customWidth="1"/>
    <col min="15" max="15" width="10.5703125" customWidth="1"/>
    <col min="16" max="16" width="11.140625" customWidth="1"/>
  </cols>
  <sheetData>
    <row r="1" spans="1:17" ht="23.25" x14ac:dyDescent="0.35">
      <c r="A1" s="57" t="str">
        <f>+'NOMINA MES'!A1</f>
        <v>AGR SERVICIOS S.R.L.</v>
      </c>
      <c r="B1" s="58"/>
      <c r="C1" s="58"/>
      <c r="D1" s="58"/>
      <c r="E1" s="58"/>
      <c r="F1" s="58"/>
      <c r="G1" s="414">
        <f>+'NOMINA MES'!E1</f>
        <v>45597</v>
      </c>
      <c r="H1" s="414"/>
      <c r="I1" s="12"/>
      <c r="J1" s="12"/>
      <c r="K1" s="12"/>
      <c r="L1" s="12"/>
      <c r="M1" s="12"/>
      <c r="N1" s="12"/>
      <c r="O1" s="12"/>
      <c r="P1" s="12"/>
    </row>
    <row r="2" spans="1:17" ht="24" customHeight="1" x14ac:dyDescent="0.25">
      <c r="A2" s="101" t="s">
        <v>241</v>
      </c>
      <c r="B2" s="58"/>
      <c r="C2" s="58"/>
      <c r="D2" s="58"/>
      <c r="E2" s="58"/>
      <c r="F2" s="58"/>
      <c r="G2" s="12"/>
      <c r="H2" s="12"/>
      <c r="I2" s="12"/>
      <c r="J2" s="12"/>
      <c r="K2" s="12"/>
      <c r="L2" s="12"/>
      <c r="M2" s="12"/>
      <c r="N2" s="12"/>
      <c r="O2" s="61">
        <v>45473</v>
      </c>
    </row>
    <row r="3" spans="1:17" ht="13.5" x14ac:dyDescent="0.25">
      <c r="A3" s="21"/>
      <c r="B3" s="21"/>
      <c r="C3" s="22"/>
      <c r="D3" s="23"/>
      <c r="E3" s="23"/>
      <c r="F3" s="24"/>
      <c r="G3" s="14"/>
      <c r="H3" s="12"/>
      <c r="I3" s="12"/>
      <c r="J3" s="12"/>
      <c r="K3" s="12"/>
      <c r="L3" s="12"/>
      <c r="M3" s="12"/>
      <c r="N3" s="12"/>
      <c r="O3" s="12"/>
      <c r="P3" s="12"/>
    </row>
    <row r="4" spans="1:17" s="49" customFormat="1" ht="25.5" x14ac:dyDescent="0.2">
      <c r="A4" s="59" t="str">
        <f>'NOMINA MES'!A5</f>
        <v>Nº</v>
      </c>
      <c r="B4" s="59" t="s">
        <v>20</v>
      </c>
      <c r="C4" s="59" t="s">
        <v>21</v>
      </c>
      <c r="D4" s="60" t="s">
        <v>22</v>
      </c>
      <c r="E4" s="60" t="s">
        <v>23</v>
      </c>
      <c r="F4" s="91">
        <v>45292</v>
      </c>
      <c r="G4" s="91">
        <f>+F4+31</f>
        <v>45323</v>
      </c>
      <c r="H4" s="91">
        <f>+G4+31</f>
        <v>45354</v>
      </c>
      <c r="I4" s="91">
        <f>+H4+31</f>
        <v>45385</v>
      </c>
      <c r="J4" s="91">
        <f>+I4+31</f>
        <v>45416</v>
      </c>
      <c r="K4" s="91">
        <f>+J4+31</f>
        <v>45447</v>
      </c>
      <c r="L4" s="190" t="s">
        <v>24</v>
      </c>
      <c r="M4" s="109" t="s">
        <v>77</v>
      </c>
      <c r="N4" s="191" t="s">
        <v>128</v>
      </c>
      <c r="O4" s="110" t="s">
        <v>78</v>
      </c>
      <c r="P4" s="102">
        <v>45292</v>
      </c>
    </row>
    <row r="5" spans="1:17" s="44" customFormat="1" ht="21" customHeight="1" x14ac:dyDescent="0.2">
      <c r="A5" s="100">
        <v>1</v>
      </c>
      <c r="B5" s="39" t="s">
        <v>135</v>
      </c>
      <c r="C5" s="40" t="s">
        <v>136</v>
      </c>
      <c r="D5" s="185">
        <f>+'NOMINA MES'!G6</f>
        <v>43283</v>
      </c>
      <c r="E5" s="105">
        <f>181-J15</f>
        <v>133</v>
      </c>
      <c r="F5" s="174">
        <v>346893.54944999999</v>
      </c>
      <c r="G5" s="174">
        <v>418319.53799999994</v>
      </c>
      <c r="H5" s="174">
        <v>572708.36332500004</v>
      </c>
      <c r="I5" s="174">
        <v>664341.50285999989</v>
      </c>
      <c r="J5" s="174">
        <v>759126.95334000001</v>
      </c>
      <c r="K5" s="174">
        <v>771671.60864499991</v>
      </c>
      <c r="L5" s="147">
        <f t="shared" ref="L5" si="0">MAX(F5:K5)</f>
        <v>771671.60864499991</v>
      </c>
      <c r="M5" s="143">
        <f>+L5/2/181*E5</f>
        <v>283514.70704360498</v>
      </c>
      <c r="N5" s="42">
        <f>+M5*21.5/100</f>
        <v>60955.66201437507</v>
      </c>
      <c r="O5" s="106">
        <f>ROUNDUP(M5-N5,0)</f>
        <v>222560</v>
      </c>
      <c r="P5" s="62"/>
    </row>
    <row r="6" spans="1:17" s="44" customFormat="1" ht="21" customHeight="1" x14ac:dyDescent="0.2">
      <c r="A6" s="100">
        <v>2</v>
      </c>
      <c r="B6" s="39" t="s">
        <v>158</v>
      </c>
      <c r="C6" s="40" t="s">
        <v>159</v>
      </c>
      <c r="D6" s="185">
        <f>+'NOMINA MES'!G7</f>
        <v>43511</v>
      </c>
      <c r="E6" s="105">
        <f>181-J16</f>
        <v>121</v>
      </c>
      <c r="F6" s="174">
        <v>236603.04512</v>
      </c>
      <c r="G6" s="174">
        <v>227454.51225</v>
      </c>
      <c r="H6" s="174">
        <v>572708.36332500004</v>
      </c>
      <c r="I6" s="174">
        <v>664341.50285999989</v>
      </c>
      <c r="J6" s="174">
        <v>759126.95334000001</v>
      </c>
      <c r="K6" s="174">
        <v>771671.60864499991</v>
      </c>
      <c r="L6" s="147">
        <f t="shared" ref="L6:L7" si="1">MAX(F6:K6)</f>
        <v>771671.60864499991</v>
      </c>
      <c r="M6" s="143">
        <f t="shared" ref="M6" si="2">+L6/2/181*E6</f>
        <v>257934.43272388121</v>
      </c>
      <c r="N6" s="42">
        <f t="shared" ref="N6" si="3">+M6*21.5/100</f>
        <v>55455.903035634459</v>
      </c>
      <c r="O6" s="106">
        <f>ROUNDUP(M6-N6,0)</f>
        <v>202479</v>
      </c>
      <c r="P6" s="62"/>
    </row>
    <row r="7" spans="1:17" s="44" customFormat="1" ht="21" customHeight="1" x14ac:dyDescent="0.2">
      <c r="A7" s="305">
        <v>4</v>
      </c>
      <c r="B7" s="306" t="s">
        <v>191</v>
      </c>
      <c r="C7" s="40" t="s">
        <v>192</v>
      </c>
      <c r="D7" s="185">
        <v>44317</v>
      </c>
      <c r="E7" s="105">
        <f>IF(D7&gt;$P$4,DATEDIF(D7,$O$2,"d"),181)</f>
        <v>181</v>
      </c>
      <c r="F7" s="174">
        <v>180000</v>
      </c>
      <c r="G7" s="174">
        <v>180000</v>
      </c>
      <c r="H7" s="174">
        <v>180000</v>
      </c>
      <c r="I7" s="174">
        <v>180000</v>
      </c>
      <c r="J7" s="174">
        <v>600000</v>
      </c>
      <c r="K7" s="174">
        <v>600000</v>
      </c>
      <c r="L7" s="147">
        <f t="shared" si="1"/>
        <v>600000</v>
      </c>
      <c r="M7" s="143">
        <f>+L7/2/181*E7</f>
        <v>300000</v>
      </c>
      <c r="N7" s="42">
        <v>0</v>
      </c>
      <c r="O7" s="316">
        <f>ROUNDUP(M7-N7,0)</f>
        <v>300000</v>
      </c>
      <c r="P7" s="62"/>
    </row>
    <row r="8" spans="1:17" s="64" customFormat="1" ht="19.5" customHeight="1" x14ac:dyDescent="0.2">
      <c r="A8" s="415" t="s">
        <v>49</v>
      </c>
      <c r="B8" s="416"/>
      <c r="C8" s="416"/>
      <c r="D8" s="416"/>
      <c r="E8" s="417"/>
      <c r="F8" s="63">
        <f t="shared" ref="F8:O8" si="4">SUM(F5:F6)</f>
        <v>583496.59456999996</v>
      </c>
      <c r="G8" s="63">
        <f t="shared" si="4"/>
        <v>645774.05024999997</v>
      </c>
      <c r="H8" s="63">
        <f t="shared" si="4"/>
        <v>1145416.7266500001</v>
      </c>
      <c r="I8" s="63">
        <f t="shared" si="4"/>
        <v>1328683.0057199998</v>
      </c>
      <c r="J8" s="63">
        <f t="shared" si="4"/>
        <v>1518253.90668</v>
      </c>
      <c r="K8" s="63">
        <f t="shared" si="4"/>
        <v>1543343.2172899998</v>
      </c>
      <c r="L8" s="142">
        <f t="shared" si="4"/>
        <v>1543343.2172899998</v>
      </c>
      <c r="M8" s="107">
        <f t="shared" si="4"/>
        <v>541449.13976748614</v>
      </c>
      <c r="N8" s="63">
        <f t="shared" si="4"/>
        <v>116411.56505000952</v>
      </c>
      <c r="O8" s="108">
        <f t="shared" si="4"/>
        <v>425039</v>
      </c>
      <c r="P8" s="144"/>
    </row>
    <row r="9" spans="1:17" ht="13.5" x14ac:dyDescent="0.25">
      <c r="A9" s="12"/>
      <c r="B9" s="12"/>
      <c r="C9" s="65"/>
      <c r="D9" s="13"/>
      <c r="E9" s="14"/>
      <c r="F9" s="145"/>
      <c r="G9" s="145"/>
      <c r="H9" s="145"/>
      <c r="I9" s="145"/>
      <c r="J9" s="145"/>
      <c r="K9" s="145"/>
      <c r="L9" s="145"/>
      <c r="M9" s="145"/>
      <c r="N9" s="145"/>
      <c r="O9" s="145"/>
      <c r="P9" s="145"/>
    </row>
    <row r="11" spans="1:17" ht="12.75" customHeight="1" x14ac:dyDescent="0.2">
      <c r="B11" s="10" t="s">
        <v>200</v>
      </c>
      <c r="H11" s="186"/>
      <c r="I11" s="186"/>
      <c r="N11" s="32"/>
      <c r="Q11" t="s">
        <v>181</v>
      </c>
    </row>
    <row r="12" spans="1:17" ht="12.75" customHeight="1" x14ac:dyDescent="0.2">
      <c r="B12" s="10"/>
      <c r="H12" s="186"/>
      <c r="I12" s="186"/>
      <c r="N12" s="32"/>
    </row>
    <row r="13" spans="1:17" ht="12.75" customHeight="1" x14ac:dyDescent="0.2">
      <c r="B13" s="10"/>
      <c r="C13" s="319" t="s">
        <v>206</v>
      </c>
      <c r="H13" s="186"/>
      <c r="I13" s="186"/>
      <c r="N13" s="32"/>
    </row>
    <row r="14" spans="1:17" x14ac:dyDescent="0.2">
      <c r="C14" s="332"/>
      <c r="D14" s="334" t="s">
        <v>208</v>
      </c>
      <c r="E14" s="334" t="s">
        <v>201</v>
      </c>
      <c r="F14" s="334" t="s">
        <v>202</v>
      </c>
      <c r="G14" s="334" t="s">
        <v>203</v>
      </c>
      <c r="H14" s="334" t="s">
        <v>204</v>
      </c>
      <c r="I14" s="334" t="s">
        <v>205</v>
      </c>
      <c r="J14" s="334" t="s">
        <v>207</v>
      </c>
    </row>
    <row r="15" spans="1:17" ht="12.75" customHeight="1" x14ac:dyDescent="0.2">
      <c r="C15" s="47" t="s">
        <v>136</v>
      </c>
      <c r="D15" s="333">
        <v>7</v>
      </c>
      <c r="E15" s="333">
        <v>10</v>
      </c>
      <c r="F15" s="333">
        <v>9</v>
      </c>
      <c r="G15" s="333">
        <v>9</v>
      </c>
      <c r="H15" s="333">
        <v>6</v>
      </c>
      <c r="I15" s="333">
        <v>7</v>
      </c>
      <c r="J15" s="332">
        <f>SUM(D15:I15)</f>
        <v>48</v>
      </c>
      <c r="K15" s="10"/>
      <c r="N15" s="186"/>
    </row>
    <row r="16" spans="1:17" ht="12.75" customHeight="1" x14ac:dyDescent="0.2">
      <c r="C16" s="47" t="s">
        <v>159</v>
      </c>
      <c r="D16" s="333">
        <v>14</v>
      </c>
      <c r="E16" s="333">
        <v>15</v>
      </c>
      <c r="F16" s="333">
        <v>9</v>
      </c>
      <c r="G16" s="333">
        <v>9</v>
      </c>
      <c r="H16" s="333">
        <v>6</v>
      </c>
      <c r="I16" s="333">
        <v>7</v>
      </c>
      <c r="J16" s="332">
        <f>SUM(D16:I16)</f>
        <v>60</v>
      </c>
      <c r="K16" s="189"/>
      <c r="N16" s="186"/>
    </row>
    <row r="17" spans="12:15" ht="12.75" customHeight="1" x14ac:dyDescent="0.2">
      <c r="N17" s="186"/>
    </row>
    <row r="18" spans="12:15" ht="12.75" customHeight="1" x14ac:dyDescent="0.2">
      <c r="N18" s="286" t="s">
        <v>181</v>
      </c>
    </row>
    <row r="19" spans="12:15" ht="12.75" customHeight="1" x14ac:dyDescent="0.2">
      <c r="N19" s="186"/>
    </row>
    <row r="20" spans="12:15" ht="12.75" customHeight="1" x14ac:dyDescent="0.2">
      <c r="L20" s="186"/>
      <c r="N20" s="186"/>
    </row>
    <row r="21" spans="12:15" ht="12.75" customHeight="1" x14ac:dyDescent="0.2">
      <c r="N21" s="186"/>
    </row>
    <row r="22" spans="12:15" ht="12.75" customHeight="1" x14ac:dyDescent="0.2">
      <c r="N22" s="186"/>
    </row>
    <row r="23" spans="12:15" ht="12.75" customHeight="1" x14ac:dyDescent="0.2">
      <c r="N23" s="186"/>
      <c r="O23" s="186"/>
    </row>
  </sheetData>
  <mergeCells count="2">
    <mergeCell ref="G1:H1"/>
    <mergeCell ref="A8:E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Right="0"/>
    <pageSetUpPr fitToPage="1"/>
  </sheetPr>
  <dimension ref="A1:Q19"/>
  <sheetViews>
    <sheetView workbookViewId="0">
      <pane xSplit="3" ySplit="4" topLeftCell="D5" activePane="bottomRight" state="frozen"/>
      <selection activeCell="O14" sqref="O14"/>
      <selection pane="topRight" activeCell="O14" sqref="O14"/>
      <selection pane="bottomLeft" activeCell="O14" sqref="O14"/>
      <selection pane="bottomRight" activeCell="G11" sqref="G11"/>
    </sheetView>
  </sheetViews>
  <sheetFormatPr baseColWidth="10" defaultRowHeight="12.75" customHeight="1" x14ac:dyDescent="0.2"/>
  <cols>
    <col min="1" max="1" width="3.7109375" customWidth="1"/>
    <col min="2" max="2" width="14" customWidth="1"/>
    <col min="3" max="3" width="28" bestFit="1" customWidth="1"/>
    <col min="4" max="4" width="10.140625" customWidth="1"/>
    <col min="5" max="5" width="10.7109375" customWidth="1"/>
    <col min="6" max="11" width="11" customWidth="1"/>
    <col min="12" max="14" width="9.85546875" customWidth="1"/>
    <col min="15" max="15" width="10.5703125" customWidth="1"/>
    <col min="16" max="16" width="11.140625" customWidth="1"/>
  </cols>
  <sheetData>
    <row r="1" spans="1:17" ht="23.25" x14ac:dyDescent="0.35">
      <c r="A1" s="57" t="str">
        <f>+'NOMINA MES'!A1</f>
        <v>AGR SERVICIOS S.R.L.</v>
      </c>
      <c r="B1" s="58"/>
      <c r="C1" s="58"/>
      <c r="D1" s="58"/>
      <c r="E1" s="58"/>
      <c r="F1" s="58"/>
      <c r="G1" s="414"/>
      <c r="H1" s="414"/>
      <c r="I1" s="12"/>
      <c r="J1" s="12"/>
      <c r="K1" s="12"/>
      <c r="L1" s="12"/>
      <c r="M1" s="12"/>
      <c r="N1" s="12"/>
      <c r="O1" s="12"/>
      <c r="P1" s="12"/>
    </row>
    <row r="2" spans="1:17" ht="24" customHeight="1" x14ac:dyDescent="0.25">
      <c r="A2" s="101" t="s">
        <v>190</v>
      </c>
      <c r="B2" s="58"/>
      <c r="C2" s="58"/>
      <c r="D2" s="58"/>
      <c r="E2" s="58"/>
      <c r="F2" s="58"/>
      <c r="G2" s="12"/>
      <c r="H2" s="12"/>
      <c r="I2" s="12"/>
      <c r="J2" s="12"/>
      <c r="K2" s="12"/>
      <c r="L2" s="12"/>
      <c r="M2" s="12"/>
      <c r="N2" s="12"/>
      <c r="O2" s="61">
        <v>45291</v>
      </c>
    </row>
    <row r="3" spans="1:17" ht="13.5" x14ac:dyDescent="0.25">
      <c r="A3" s="21"/>
      <c r="B3" s="21"/>
      <c r="C3" s="22"/>
      <c r="D3" s="23"/>
      <c r="E3" s="23"/>
      <c r="F3" s="24"/>
      <c r="G3" s="14"/>
      <c r="H3" s="12"/>
      <c r="I3" s="12"/>
      <c r="J3" s="12"/>
      <c r="K3" s="12"/>
      <c r="L3" s="12"/>
      <c r="M3" s="12"/>
      <c r="N3" s="12"/>
      <c r="O3" s="12"/>
      <c r="P3" s="12"/>
    </row>
    <row r="4" spans="1:17" s="49" customFormat="1" ht="25.5" x14ac:dyDescent="0.2">
      <c r="A4" s="59" t="str">
        <f>'NOMINA MES'!A5</f>
        <v>Nº</v>
      </c>
      <c r="B4" s="59" t="s">
        <v>20</v>
      </c>
      <c r="C4" s="59" t="s">
        <v>21</v>
      </c>
      <c r="D4" s="60" t="s">
        <v>22</v>
      </c>
      <c r="E4" s="60" t="s">
        <v>23</v>
      </c>
      <c r="F4" s="91">
        <v>45108</v>
      </c>
      <c r="G4" s="91">
        <v>45139</v>
      </c>
      <c r="H4" s="91">
        <v>45170</v>
      </c>
      <c r="I4" s="91">
        <v>45200</v>
      </c>
      <c r="J4" s="91">
        <v>45231</v>
      </c>
      <c r="K4" s="91">
        <v>45261</v>
      </c>
      <c r="L4" s="323" t="s">
        <v>24</v>
      </c>
      <c r="M4" s="109" t="s">
        <v>77</v>
      </c>
      <c r="N4" s="191" t="s">
        <v>128</v>
      </c>
      <c r="O4" s="110" t="s">
        <v>78</v>
      </c>
      <c r="P4" s="102">
        <v>45108</v>
      </c>
    </row>
    <row r="5" spans="1:17" s="44" customFormat="1" ht="21" customHeight="1" x14ac:dyDescent="0.2">
      <c r="A5" s="100">
        <v>1</v>
      </c>
      <c r="B5" s="39" t="s">
        <v>135</v>
      </c>
      <c r="C5" s="40" t="s">
        <v>136</v>
      </c>
      <c r="D5" s="185">
        <f>+'NOMINA MES'!G6</f>
        <v>43283</v>
      </c>
      <c r="E5" s="105">
        <f>IF(D5&gt;$P$4,DATEDIF(D5,$O$2,"d"),184)</f>
        <v>184</v>
      </c>
      <c r="F5" s="320">
        <v>172962.21829250001</v>
      </c>
      <c r="G5" s="320">
        <v>242590.46353500002</v>
      </c>
      <c r="H5" s="320">
        <v>264180.33526500006</v>
      </c>
      <c r="I5" s="320">
        <v>274244.151342</v>
      </c>
      <c r="J5" s="320">
        <v>303238.09491500008</v>
      </c>
      <c r="K5" s="357"/>
      <c r="L5" s="321">
        <f>MAX(F5:K5)</f>
        <v>303238.09491500008</v>
      </c>
      <c r="M5" s="143">
        <f>+L5/2/184*E5</f>
        <v>151619.04745750004</v>
      </c>
      <c r="N5" s="42">
        <f>+M5*21.5/100</f>
        <v>32598.095203362507</v>
      </c>
      <c r="O5" s="106">
        <f>ROUNDUP(M5-N5,0)</f>
        <v>119021</v>
      </c>
      <c r="P5" s="62"/>
      <c r="Q5" s="62">
        <f>+('NOMINA MES'!AN6-'NOMINA MES'!AE6)/2-O5</f>
        <v>216133.23190000001</v>
      </c>
    </row>
    <row r="6" spans="1:17" s="44" customFormat="1" ht="21" customHeight="1" x14ac:dyDescent="0.2">
      <c r="A6" s="100">
        <v>2</v>
      </c>
      <c r="B6" s="39" t="s">
        <v>158</v>
      </c>
      <c r="C6" s="40" t="s">
        <v>159</v>
      </c>
      <c r="D6" s="185">
        <f>+'NOMINA MES'!G7</f>
        <v>43511</v>
      </c>
      <c r="E6" s="105">
        <f>IF(D6&gt;$P$4,DATEDIF(D6,$O$2,"d"),184)</f>
        <v>184</v>
      </c>
      <c r="F6" s="320">
        <v>171314.95907066666</v>
      </c>
      <c r="G6" s="320">
        <v>216541.82992000005</v>
      </c>
      <c r="H6" s="320">
        <v>256084.24140000003</v>
      </c>
      <c r="I6" s="320">
        <v>157536.33428000001</v>
      </c>
      <c r="J6" s="320">
        <v>300350.11305866676</v>
      </c>
      <c r="K6" s="357"/>
      <c r="L6" s="321">
        <f t="shared" ref="L6" si="0">MAX(F6:K6)</f>
        <v>300350.11305866676</v>
      </c>
      <c r="M6" s="143">
        <f>+L6/2/184*E6</f>
        <v>150175.05652933338</v>
      </c>
      <c r="N6" s="42">
        <f>+M6*21.5/100</f>
        <v>32287.637153806678</v>
      </c>
      <c r="O6" s="106">
        <f>ROUNDUP(M6-N6,0)</f>
        <v>117888</v>
      </c>
      <c r="P6" s="62"/>
      <c r="Q6" s="62">
        <f>+('NOMINA MES'!AN7-'NOMINA MES'!AE7+'NOMINA MES'!AM7)/2-O6</f>
        <v>214104.23190000001</v>
      </c>
    </row>
    <row r="7" spans="1:17" s="44" customFormat="1" ht="21" customHeight="1" x14ac:dyDescent="0.2">
      <c r="A7" s="100">
        <v>4</v>
      </c>
      <c r="B7" s="39" t="s">
        <v>191</v>
      </c>
      <c r="C7" s="40" t="s">
        <v>192</v>
      </c>
      <c r="D7" s="233">
        <v>44317</v>
      </c>
      <c r="E7" s="105">
        <f>IF(D7&gt;$P$4,DATEDIF(D7,$O$2,"d"),184)</f>
        <v>184</v>
      </c>
      <c r="F7" s="320">
        <v>150000</v>
      </c>
      <c r="G7" s="320">
        <v>150000</v>
      </c>
      <c r="H7" s="320">
        <v>180000</v>
      </c>
      <c r="I7" s="320">
        <v>180000</v>
      </c>
      <c r="J7" s="320">
        <v>180000</v>
      </c>
      <c r="K7" s="357"/>
      <c r="L7" s="321">
        <f t="shared" ref="L7" si="1">MAX(F7:K7)</f>
        <v>180000</v>
      </c>
      <c r="M7" s="143">
        <f>+L7/2/184*E7</f>
        <v>90000</v>
      </c>
      <c r="N7" s="42"/>
      <c r="O7" s="106">
        <f>ROUNDUP(M7-N7,0)</f>
        <v>90000</v>
      </c>
      <c r="P7" s="62"/>
      <c r="Q7" s="62">
        <f>+('NOMINA MES'!AN8-'NOMINA MES'!AE8)/2-O7</f>
        <v>310000</v>
      </c>
    </row>
    <row r="8" spans="1:17" s="64" customFormat="1" ht="19.5" customHeight="1" x14ac:dyDescent="0.2">
      <c r="A8" s="415" t="s">
        <v>49</v>
      </c>
      <c r="B8" s="416"/>
      <c r="C8" s="416"/>
      <c r="D8" s="416"/>
      <c r="E8" s="417"/>
      <c r="F8" s="63">
        <f t="shared" ref="F8:O8" si="2">SUM(F5:F7)</f>
        <v>494277.1773631667</v>
      </c>
      <c r="G8" s="63">
        <f t="shared" si="2"/>
        <v>609132.29345500004</v>
      </c>
      <c r="H8" s="63">
        <f t="shared" si="2"/>
        <v>700264.57666500006</v>
      </c>
      <c r="I8" s="63">
        <f t="shared" si="2"/>
        <v>611780.48562199995</v>
      </c>
      <c r="J8" s="63">
        <f t="shared" si="2"/>
        <v>783588.20797366684</v>
      </c>
      <c r="K8" s="63">
        <f t="shared" si="2"/>
        <v>0</v>
      </c>
      <c r="L8" s="322">
        <f t="shared" si="2"/>
        <v>783588.20797366684</v>
      </c>
      <c r="M8" s="107">
        <f t="shared" si="2"/>
        <v>391794.10398683342</v>
      </c>
      <c r="N8" s="63">
        <f t="shared" si="2"/>
        <v>64885.732357169181</v>
      </c>
      <c r="O8" s="108">
        <f t="shared" si="2"/>
        <v>326909</v>
      </c>
      <c r="P8" s="144"/>
    </row>
    <row r="9" spans="1:17" ht="13.5" x14ac:dyDescent="0.25">
      <c r="A9" s="12"/>
      <c r="B9" s="12"/>
      <c r="C9" s="65"/>
      <c r="D9" s="13"/>
      <c r="E9" s="14"/>
      <c r="F9" s="145"/>
      <c r="G9" s="145"/>
      <c r="H9" s="145"/>
      <c r="I9" s="145"/>
      <c r="J9" s="145"/>
      <c r="K9" s="145"/>
      <c r="L9" s="145"/>
      <c r="M9" s="145"/>
      <c r="N9" s="145"/>
      <c r="O9" s="145"/>
      <c r="P9" s="145"/>
    </row>
    <row r="10" spans="1:17" ht="12.75" customHeight="1" x14ac:dyDescent="0.2">
      <c r="N10" s="186"/>
    </row>
    <row r="11" spans="1:17" ht="12.75" customHeight="1" x14ac:dyDescent="0.2">
      <c r="J11" s="351" t="s">
        <v>234</v>
      </c>
      <c r="K11" s="352"/>
      <c r="L11" s="352"/>
      <c r="M11" s="353"/>
      <c r="N11" s="186"/>
    </row>
    <row r="12" spans="1:17" ht="12.75" customHeight="1" x14ac:dyDescent="0.2">
      <c r="J12" s="354" t="s">
        <v>235</v>
      </c>
      <c r="K12" s="355"/>
      <c r="L12" s="355"/>
      <c r="M12" s="356"/>
      <c r="N12" s="186"/>
      <c r="O12">
        <f>806/2</f>
        <v>403</v>
      </c>
    </row>
    <row r="13" spans="1:17" ht="12.75" customHeight="1" x14ac:dyDescent="0.2">
      <c r="N13" s="186"/>
    </row>
    <row r="14" spans="1:17" ht="12.75" customHeight="1" x14ac:dyDescent="0.2">
      <c r="N14" s="186"/>
    </row>
    <row r="15" spans="1:17" ht="12.75" customHeight="1" x14ac:dyDescent="0.2">
      <c r="N15" s="186"/>
    </row>
    <row r="16" spans="1:17" ht="12.75" customHeight="1" x14ac:dyDescent="0.2">
      <c r="L16" s="186"/>
      <c r="N16" s="186"/>
      <c r="O16" s="186"/>
    </row>
    <row r="19" spans="13:13" ht="12.75" customHeight="1" x14ac:dyDescent="0.2">
      <c r="M19" s="10" t="s">
        <v>181</v>
      </c>
    </row>
  </sheetData>
  <mergeCells count="2">
    <mergeCell ref="G1:H1"/>
    <mergeCell ref="A8:E8"/>
  </mergeCells>
  <pageMargins left="0.59" right="0.17" top="0.74803149606299213" bottom="0.74803149606299213" header="0.31496062992125984" footer="0.31496062992125984"/>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outlinePr summaryRight="0"/>
    <pageSetUpPr fitToPage="1"/>
  </sheetPr>
  <dimension ref="A1:IS13"/>
  <sheetViews>
    <sheetView topLeftCell="B1" workbookViewId="0">
      <selection activeCell="Q9" sqref="Q9"/>
    </sheetView>
  </sheetViews>
  <sheetFormatPr baseColWidth="10" defaultRowHeight="12.75" customHeight="1" x14ac:dyDescent="0.2"/>
  <cols>
    <col min="1" max="1" width="14.5703125" customWidth="1"/>
    <col min="2" max="2" width="6.7109375" customWidth="1"/>
    <col min="3" max="3" width="23.28515625" customWidth="1"/>
    <col min="4" max="4" width="12.5703125" customWidth="1"/>
    <col min="5" max="5" width="13.85546875" customWidth="1"/>
    <col min="6" max="6" width="10.140625" customWidth="1"/>
    <col min="7" max="7" width="7.7109375" customWidth="1"/>
    <col min="8" max="8" width="6.7109375" customWidth="1"/>
    <col min="9" max="9" width="8.5703125" customWidth="1"/>
    <col min="10" max="10" width="8.7109375" customWidth="1"/>
    <col min="11" max="11" width="6.7109375" customWidth="1"/>
    <col min="12" max="14" width="12.42578125" customWidth="1"/>
    <col min="17" max="17" width="14.85546875" customWidth="1"/>
  </cols>
  <sheetData>
    <row r="1" spans="1:253" ht="24" customHeight="1" x14ac:dyDescent="0.35">
      <c r="A1" s="33" t="str">
        <f>+'NOMINA MES'!A1</f>
        <v>AGR SERVICIOS S.R.L.</v>
      </c>
      <c r="E1" s="423">
        <v>41639</v>
      </c>
      <c r="F1" s="423"/>
      <c r="N1" s="427" t="s">
        <v>50</v>
      </c>
      <c r="O1" s="428"/>
      <c r="P1" s="428"/>
      <c r="Q1" s="429"/>
    </row>
    <row r="2" spans="1:253" ht="24" customHeight="1" x14ac:dyDescent="0.2">
      <c r="N2" s="66"/>
      <c r="O2" s="67" t="s">
        <v>80</v>
      </c>
      <c r="P2" s="68">
        <v>144.21</v>
      </c>
      <c r="Q2" s="69" t="s">
        <v>51</v>
      </c>
    </row>
    <row r="3" spans="1:253" ht="24" customHeight="1" x14ac:dyDescent="0.3">
      <c r="A3" s="424" t="s">
        <v>82</v>
      </c>
      <c r="B3" s="424"/>
      <c r="C3" s="424"/>
      <c r="D3" s="424"/>
      <c r="E3" s="424"/>
      <c r="N3" s="66"/>
      <c r="O3" s="67" t="s">
        <v>81</v>
      </c>
      <c r="P3" s="68"/>
      <c r="Q3" s="69" t="s">
        <v>51</v>
      </c>
    </row>
    <row r="4" spans="1:253" ht="24" customHeight="1" x14ac:dyDescent="0.25">
      <c r="A4" s="70"/>
      <c r="B4" s="25"/>
      <c r="C4" s="26"/>
      <c r="E4" s="27"/>
      <c r="F4" s="28"/>
      <c r="G4" s="71"/>
      <c r="H4" s="71"/>
      <c r="I4" s="29"/>
      <c r="J4" s="30"/>
      <c r="K4" s="31"/>
      <c r="L4" s="31"/>
      <c r="M4" s="31"/>
      <c r="N4" s="72"/>
      <c r="O4" s="73"/>
      <c r="P4" s="74"/>
      <c r="Q4" s="75" t="s">
        <v>51</v>
      </c>
    </row>
    <row r="5" spans="1:253" ht="15" x14ac:dyDescent="0.25">
      <c r="A5" s="70"/>
      <c r="B5" s="25"/>
      <c r="C5" s="26"/>
      <c r="E5" s="27"/>
      <c r="F5" s="28"/>
      <c r="G5" s="71"/>
      <c r="H5" s="71"/>
      <c r="I5" s="29"/>
      <c r="J5" s="30"/>
      <c r="K5" s="31"/>
      <c r="L5" s="31"/>
      <c r="M5" s="31"/>
      <c r="N5" s="68"/>
      <c r="O5" s="76"/>
      <c r="P5" s="74"/>
      <c r="Q5" s="74"/>
    </row>
    <row r="6" spans="1:253" ht="13.5" customHeight="1" x14ac:dyDescent="0.2">
      <c r="A6" s="425" t="s">
        <v>20</v>
      </c>
      <c r="B6" s="425" t="s">
        <v>52</v>
      </c>
      <c r="C6" s="425" t="s">
        <v>21</v>
      </c>
      <c r="D6" s="418" t="s">
        <v>3</v>
      </c>
      <c r="E6" s="418" t="s">
        <v>53</v>
      </c>
      <c r="F6" s="430" t="s">
        <v>54</v>
      </c>
      <c r="G6" s="430" t="s">
        <v>34</v>
      </c>
      <c r="H6" s="430" t="s">
        <v>55</v>
      </c>
      <c r="I6" s="425" t="s">
        <v>56</v>
      </c>
      <c r="J6" s="425" t="s">
        <v>57</v>
      </c>
      <c r="K6" s="420" t="s">
        <v>58</v>
      </c>
      <c r="L6" s="422" t="s">
        <v>59</v>
      </c>
      <c r="M6" s="422"/>
      <c r="N6" s="432" t="s">
        <v>60</v>
      </c>
      <c r="O6" s="434" t="s">
        <v>61</v>
      </c>
      <c r="P6" s="435"/>
      <c r="Q6" s="436" t="s">
        <v>28</v>
      </c>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pans="1:253" ht="36" x14ac:dyDescent="0.2">
      <c r="A7" s="426"/>
      <c r="B7" s="426" t="s">
        <v>62</v>
      </c>
      <c r="C7" s="426"/>
      <c r="D7" s="419"/>
      <c r="E7" s="419"/>
      <c r="F7" s="431"/>
      <c r="G7" s="431"/>
      <c r="H7" s="431"/>
      <c r="I7" s="426"/>
      <c r="J7" s="426"/>
      <c r="K7" s="421"/>
      <c r="L7" s="78" t="s">
        <v>63</v>
      </c>
      <c r="M7" s="79" t="s">
        <v>64</v>
      </c>
      <c r="N7" s="433"/>
      <c r="O7" s="80" t="s">
        <v>65</v>
      </c>
      <c r="P7" s="80" t="s">
        <v>66</v>
      </c>
      <c r="Q7" s="436"/>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row>
    <row r="8" spans="1:253" ht="21" customHeight="1" x14ac:dyDescent="0.2">
      <c r="A8" s="46" t="e">
        <f>'NOMINA MES'!#REF!</f>
        <v>#REF!</v>
      </c>
      <c r="B8" s="81" t="e">
        <f>'NOMINA MES'!#REF!</f>
        <v>#REF!</v>
      </c>
      <c r="C8" s="117" t="e">
        <f>'NOMINA MES'!#REF!</f>
        <v>#REF!</v>
      </c>
      <c r="D8" s="118" t="e">
        <f>'NOMINA MES'!#REF!</f>
        <v>#REF!</v>
      </c>
      <c r="E8" s="119" t="e">
        <f>'NOMINA MES'!#REF!</f>
        <v>#REF!</v>
      </c>
      <c r="F8" s="83">
        <f>6173.95+740.87+69.15</f>
        <v>6983.9699999999993</v>
      </c>
      <c r="G8" s="83"/>
      <c r="H8" s="84" t="e">
        <f>DATEDIF($D8,E1,"y")</f>
        <v>#REF!</v>
      </c>
      <c r="I8" s="120" t="e">
        <f>IF(H8&gt;=20,35,IF(AND(H8&gt;=10,H8&lt;20),28,IF(AND(H8&gt;=5,H8&lt;10),21,IF(H8&lt;5,14,0))))</f>
        <v>#REF!</v>
      </c>
      <c r="J8" s="134">
        <v>14</v>
      </c>
      <c r="K8" s="136" t="e">
        <f>+I8-J8</f>
        <v>#REF!</v>
      </c>
      <c r="L8" s="130">
        <v>41918</v>
      </c>
      <c r="M8" s="130">
        <v>41931</v>
      </c>
      <c r="N8" s="130">
        <v>41932</v>
      </c>
      <c r="O8" s="131">
        <f>(F8/24*J8)</f>
        <v>4073.9824999999996</v>
      </c>
      <c r="P8" s="131">
        <f>+P2*J8</f>
        <v>2018.94</v>
      </c>
      <c r="Q8" s="89">
        <f>ROUNDUP(O8+P8-(O8+P8)*0.215,0)</f>
        <v>4783</v>
      </c>
      <c r="R8" s="68">
        <f>+O8/21*25</f>
        <v>4849.9791666666661</v>
      </c>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ht="21" customHeight="1" x14ac:dyDescent="0.2">
      <c r="A9" s="46" t="s">
        <v>69</v>
      </c>
      <c r="B9" s="81">
        <v>29</v>
      </c>
      <c r="C9" s="117" t="s">
        <v>68</v>
      </c>
      <c r="D9" s="118">
        <v>41458</v>
      </c>
      <c r="E9" s="135" t="s">
        <v>70</v>
      </c>
      <c r="F9" s="97">
        <v>41.81</v>
      </c>
      <c r="G9" s="83"/>
      <c r="H9" s="84">
        <f>DATEDIF($D9,E1,"y")</f>
        <v>0</v>
      </c>
      <c r="I9" s="120">
        <v>7</v>
      </c>
      <c r="J9" s="134">
        <v>7</v>
      </c>
      <c r="K9" s="136">
        <f>+I9-J9</f>
        <v>0</v>
      </c>
      <c r="L9" s="132">
        <v>41932</v>
      </c>
      <c r="M9" s="132">
        <v>41938</v>
      </c>
      <c r="N9" s="132">
        <v>41939</v>
      </c>
      <c r="O9" s="133">
        <f>(J9*8)*F9</f>
        <v>2341.36</v>
      </c>
      <c r="P9" s="133">
        <f>+P5*J9</f>
        <v>0</v>
      </c>
      <c r="Q9" s="89">
        <f>ROUNDUP(O9+P9-(O9+P9)*0.195-188.48,0)</f>
        <v>1697</v>
      </c>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ht="21" customHeight="1" x14ac:dyDescent="0.2">
      <c r="A10" s="46" t="s">
        <v>73</v>
      </c>
      <c r="B10" s="81">
        <v>32</v>
      </c>
      <c r="C10" s="47" t="s">
        <v>74</v>
      </c>
      <c r="D10" s="90">
        <v>41625</v>
      </c>
      <c r="E10" s="82" t="s">
        <v>19</v>
      </c>
      <c r="F10" s="83"/>
      <c r="G10" s="83"/>
      <c r="H10" s="84"/>
      <c r="I10" s="85">
        <v>0</v>
      </c>
      <c r="J10" s="86"/>
      <c r="K10" s="137"/>
      <c r="L10" s="87"/>
      <c r="M10" s="87"/>
      <c r="N10" s="87"/>
      <c r="O10" s="88"/>
      <c r="P10" s="88"/>
      <c r="Q10" s="89"/>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ht="21" customHeight="1" x14ac:dyDescent="0.2">
      <c r="A11" s="46" t="s">
        <v>75</v>
      </c>
      <c r="B11" s="81">
        <v>33</v>
      </c>
      <c r="C11" s="47" t="s">
        <v>76</v>
      </c>
      <c r="D11" s="90">
        <v>41625</v>
      </c>
      <c r="E11" s="96" t="s">
        <v>70</v>
      </c>
      <c r="F11" s="97"/>
      <c r="G11" s="83"/>
      <c r="H11" s="84"/>
      <c r="I11" s="85">
        <v>0</v>
      </c>
      <c r="J11" s="86"/>
      <c r="K11" s="137"/>
      <c r="L11" s="87"/>
      <c r="M11" s="87"/>
      <c r="N11" s="87"/>
      <c r="O11" s="88"/>
      <c r="P11" s="88"/>
      <c r="Q11" s="89"/>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row>
    <row r="13" spans="1:253" x14ac:dyDescent="0.2">
      <c r="F13" s="32"/>
    </row>
  </sheetData>
  <mergeCells count="18">
    <mergeCell ref="N1:Q1"/>
    <mergeCell ref="F6:F7"/>
    <mergeCell ref="N6:N7"/>
    <mergeCell ref="O6:P6"/>
    <mergeCell ref="Q6:Q7"/>
    <mergeCell ref="G6:G7"/>
    <mergeCell ref="H6:H7"/>
    <mergeCell ref="I6:I7"/>
    <mergeCell ref="J6:J7"/>
    <mergeCell ref="D6:D7"/>
    <mergeCell ref="E6:E7"/>
    <mergeCell ref="K6:K7"/>
    <mergeCell ref="L6:M6"/>
    <mergeCell ref="E1:F1"/>
    <mergeCell ref="A3:E3"/>
    <mergeCell ref="A6:A7"/>
    <mergeCell ref="B6:B7"/>
    <mergeCell ref="C6:C7"/>
  </mergeCells>
  <pageMargins left="0.70866141732283472" right="0.49" top="0.74803149606299213" bottom="0.74803149606299213" header="0.31496062992125984" footer="0.31496062992125984"/>
  <pageSetup paperSize="9" scale="86" orientation="portrait" copies="16726"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38"/>
  <sheetViews>
    <sheetView workbookViewId="0">
      <selection activeCell="F25" sqref="F25"/>
    </sheetView>
  </sheetViews>
  <sheetFormatPr baseColWidth="10" defaultRowHeight="12.75" x14ac:dyDescent="0.2"/>
  <cols>
    <col min="1" max="1" width="6.7109375" customWidth="1"/>
    <col min="2" max="2" width="14.5703125" customWidth="1"/>
    <col min="3" max="3" width="27.7109375" customWidth="1"/>
    <col min="4" max="4" width="12.5703125" customWidth="1"/>
    <col min="5" max="5" width="13.85546875" customWidth="1"/>
    <col min="6" max="6" width="10.140625" customWidth="1"/>
    <col min="7" max="7" width="7.42578125" customWidth="1"/>
    <col min="8" max="8" width="12.7109375" customWidth="1"/>
    <col min="9" max="9" width="8.7109375" customWidth="1"/>
    <col min="10" max="10" width="10.140625" customWidth="1"/>
    <col min="11" max="13" width="12.42578125" customWidth="1"/>
    <col min="14" max="14" width="13.42578125" customWidth="1"/>
    <col min="16" max="16" width="12.140625" customWidth="1"/>
    <col min="17" max="17" width="14.85546875" customWidth="1"/>
  </cols>
  <sheetData>
    <row r="1" spans="1:253" ht="24" customHeight="1" x14ac:dyDescent="0.35">
      <c r="A1" s="33" t="str">
        <f>+'NOMINA MES'!A1</f>
        <v>AGR SERVICIOS S.R.L.</v>
      </c>
      <c r="E1" s="437">
        <v>45657</v>
      </c>
      <c r="F1" s="438"/>
      <c r="M1" s="216"/>
      <c r="N1" s="215"/>
      <c r="O1" s="215"/>
      <c r="P1" s="216"/>
      <c r="Q1" s="216"/>
    </row>
    <row r="2" spans="1:253" ht="24" customHeight="1" x14ac:dyDescent="0.2">
      <c r="M2" s="68"/>
      <c r="N2" s="67" t="s">
        <v>189</v>
      </c>
      <c r="O2" s="68">
        <v>994.14</v>
      </c>
      <c r="P2" s="68"/>
      <c r="Q2" s="68"/>
    </row>
    <row r="3" spans="1:253" ht="24" customHeight="1" thickBot="1" x14ac:dyDescent="0.35">
      <c r="A3" s="439" t="s">
        <v>232</v>
      </c>
      <c r="B3" s="440"/>
      <c r="C3" s="441"/>
      <c r="D3" s="121"/>
      <c r="E3" s="121"/>
    </row>
    <row r="4" spans="1:253" ht="15.75" thickBot="1" x14ac:dyDescent="0.3">
      <c r="A4" s="25"/>
      <c r="B4" s="70"/>
      <c r="C4" s="26"/>
      <c r="E4" s="27"/>
      <c r="F4" s="28"/>
      <c r="G4" s="71"/>
      <c r="H4" s="29"/>
      <c r="I4" s="30"/>
      <c r="J4" s="31"/>
      <c r="K4" s="31"/>
      <c r="L4" s="31"/>
      <c r="M4" s="68"/>
      <c r="N4" s="148">
        <v>184</v>
      </c>
      <c r="O4" s="148">
        <v>231</v>
      </c>
      <c r="P4" s="274"/>
      <c r="Q4" s="74"/>
    </row>
    <row r="5" spans="1:253" s="10" customFormat="1" ht="13.5" customHeight="1" thickBot="1" x14ac:dyDescent="0.25">
      <c r="A5" s="442" t="s">
        <v>52</v>
      </c>
      <c r="B5" s="442" t="s">
        <v>20</v>
      </c>
      <c r="C5" s="442" t="s">
        <v>21</v>
      </c>
      <c r="D5" s="443" t="s">
        <v>3</v>
      </c>
      <c r="E5" s="443" t="s">
        <v>53</v>
      </c>
      <c r="F5" s="445" t="s">
        <v>54</v>
      </c>
      <c r="G5" s="445" t="s">
        <v>55</v>
      </c>
      <c r="H5" s="453" t="s">
        <v>56</v>
      </c>
      <c r="I5" s="442" t="s">
        <v>57</v>
      </c>
      <c r="J5" s="454" t="s">
        <v>58</v>
      </c>
      <c r="K5" s="455" t="s">
        <v>59</v>
      </c>
      <c r="L5" s="455"/>
      <c r="M5" s="456" t="s">
        <v>60</v>
      </c>
      <c r="N5" s="447" t="s">
        <v>61</v>
      </c>
      <c r="O5" s="448"/>
      <c r="P5" s="449" t="s">
        <v>175</v>
      </c>
      <c r="Q5" s="449" t="s">
        <v>28</v>
      </c>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row>
    <row r="6" spans="1:253" s="10" customFormat="1" ht="39" thickBot="1" x14ac:dyDescent="0.25">
      <c r="A6" s="442" t="s">
        <v>62</v>
      </c>
      <c r="B6" s="442"/>
      <c r="C6" s="442"/>
      <c r="D6" s="444"/>
      <c r="E6" s="444"/>
      <c r="F6" s="446"/>
      <c r="G6" s="446"/>
      <c r="H6" s="453"/>
      <c r="I6" s="442"/>
      <c r="J6" s="454"/>
      <c r="K6" s="288" t="s">
        <v>63</v>
      </c>
      <c r="L6" s="288" t="s">
        <v>64</v>
      </c>
      <c r="M6" s="456"/>
      <c r="N6" s="259" t="s">
        <v>65</v>
      </c>
      <c r="O6" s="259" t="s">
        <v>66</v>
      </c>
      <c r="P6" s="450"/>
      <c r="Q6" s="450"/>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pans="1:253" s="10" customFormat="1" ht="22.5" customHeight="1" x14ac:dyDescent="0.2">
      <c r="A7" s="146">
        <v>1</v>
      </c>
      <c r="B7" s="229" t="s">
        <v>135</v>
      </c>
      <c r="C7" s="47" t="s">
        <v>136</v>
      </c>
      <c r="D7" s="230">
        <f>+'NOMINA MES'!G6</f>
        <v>43283</v>
      </c>
      <c r="E7" s="146" t="str">
        <f>+'NOMINA MES'!E6</f>
        <v>COND 1°</v>
      </c>
      <c r="F7" s="83"/>
      <c r="G7" s="84">
        <f>DATEDIF($D7,$E$1,"y")</f>
        <v>6</v>
      </c>
      <c r="H7" s="260">
        <f t="shared" ref="H7:H8" si="0">IF(G7&gt;=20,35,IF(AND(G7&gt;=10,G7&lt;20),28,IF(AND(G7&gt;=5,G7&lt;10),21,IF(G7&lt;5,14,0))))</f>
        <v>21</v>
      </c>
      <c r="I7" s="86"/>
      <c r="J7" s="261">
        <f>+H7-I7</f>
        <v>21</v>
      </c>
      <c r="K7" s="87"/>
      <c r="L7" s="87"/>
      <c r="M7" s="87"/>
      <c r="N7" s="262">
        <f>(F7)/24*I7</f>
        <v>0</v>
      </c>
      <c r="O7" s="262">
        <f>764.72*I7</f>
        <v>0</v>
      </c>
      <c r="P7" s="262">
        <f>+N7+O7</f>
        <v>0</v>
      </c>
      <c r="Q7" s="262">
        <f>ROUNDUP(N7+O7-(N7+O7)*0.215,0)</f>
        <v>0</v>
      </c>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row>
    <row r="8" spans="1:253" s="10" customFormat="1" ht="22.5" customHeight="1" x14ac:dyDescent="0.2">
      <c r="A8" s="146">
        <v>2</v>
      </c>
      <c r="B8" s="229" t="s">
        <v>158</v>
      </c>
      <c r="C8" s="47" t="s">
        <v>159</v>
      </c>
      <c r="D8" s="350">
        <v>43511</v>
      </c>
      <c r="E8" s="146" t="str">
        <f>+'NOMINA MES'!E7</f>
        <v>COND 1°</v>
      </c>
      <c r="F8" s="83"/>
      <c r="G8" s="84">
        <f t="shared" ref="G8" si="1">DATEDIF($D8,$E$1,"y")</f>
        <v>5</v>
      </c>
      <c r="H8" s="260">
        <f t="shared" si="0"/>
        <v>21</v>
      </c>
      <c r="I8" s="86"/>
      <c r="J8" s="261">
        <f>+H8-I8</f>
        <v>21</v>
      </c>
      <c r="K8" s="87"/>
      <c r="L8" s="87"/>
      <c r="M8" s="87"/>
      <c r="N8" s="262">
        <f t="shared" ref="N8" si="2">(F8)/24*I8</f>
        <v>0</v>
      </c>
      <c r="O8" s="262">
        <f t="shared" ref="O8" si="3">764.72*I8</f>
        <v>0</v>
      </c>
      <c r="P8" s="262">
        <f t="shared" ref="P8" si="4">+N8+O8</f>
        <v>0</v>
      </c>
      <c r="Q8" s="262">
        <f>ROUNDUP(N8+O8-(N8+O8)*0.215,0)</f>
        <v>0</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ht="22.5" customHeight="1" x14ac:dyDescent="0.2">
      <c r="A9" s="35"/>
      <c r="B9" s="234"/>
      <c r="E9" s="35"/>
      <c r="F9" s="237"/>
      <c r="G9" s="238"/>
      <c r="H9" s="242"/>
      <c r="I9" s="239"/>
      <c r="J9" s="243"/>
      <c r="K9" s="240"/>
      <c r="L9" s="240"/>
      <c r="M9" s="240"/>
      <c r="N9" s="241"/>
      <c r="O9" s="241"/>
      <c r="P9" s="241"/>
      <c r="Q9" s="241"/>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ht="22.5" customHeight="1" thickBot="1" x14ac:dyDescent="0.25">
      <c r="A10" s="35"/>
      <c r="B10" s="234"/>
      <c r="E10" s="35"/>
      <c r="F10" s="237"/>
      <c r="G10" s="238"/>
      <c r="H10" s="242"/>
      <c r="I10" s="239"/>
      <c r="J10" s="243"/>
      <c r="K10" s="240"/>
      <c r="L10" s="240"/>
      <c r="M10" s="240"/>
      <c r="N10" s="241"/>
      <c r="O10" s="241"/>
      <c r="P10" s="241"/>
      <c r="Q10" s="241"/>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ht="24" thickBot="1" x14ac:dyDescent="0.4">
      <c r="F11" s="196" t="s">
        <v>129</v>
      </c>
      <c r="G11" s="197"/>
      <c r="H11" s="197"/>
      <c r="I11" s="197"/>
      <c r="J11" s="198"/>
      <c r="K11" s="194"/>
      <c r="L11" s="195"/>
    </row>
    <row r="12" spans="1:253" ht="13.5" thickBot="1" x14ac:dyDescent="0.25"/>
    <row r="13" spans="1:253" ht="24" thickBot="1" x14ac:dyDescent="0.4">
      <c r="F13" s="196" t="s">
        <v>130</v>
      </c>
      <c r="G13" s="197"/>
      <c r="H13" s="197"/>
      <c r="I13" s="197"/>
      <c r="J13" s="198"/>
      <c r="K13" s="194"/>
      <c r="L13" s="195"/>
      <c r="M13" s="196"/>
      <c r="N13" s="197"/>
      <c r="O13" s="195"/>
      <c r="P13" s="195"/>
      <c r="Q13" s="195"/>
      <c r="R13" s="195"/>
      <c r="S13" s="195"/>
      <c r="T13" s="195"/>
      <c r="U13" s="195"/>
    </row>
    <row r="14" spans="1:253" ht="12.75" customHeight="1" x14ac:dyDescent="0.35">
      <c r="C14" s="319" t="s">
        <v>243</v>
      </c>
      <c r="F14" s="349"/>
      <c r="G14" s="349"/>
      <c r="H14" s="349"/>
      <c r="I14" s="349"/>
      <c r="J14" s="349"/>
      <c r="M14" s="349"/>
      <c r="N14" s="349"/>
    </row>
    <row r="15" spans="1:253" ht="12.75" customHeight="1" x14ac:dyDescent="0.35">
      <c r="C15" s="297" t="s">
        <v>21</v>
      </c>
      <c r="D15" s="297" t="s">
        <v>56</v>
      </c>
      <c r="F15" s="349"/>
      <c r="G15" s="349"/>
      <c r="H15" s="349"/>
      <c r="I15" s="349"/>
      <c r="J15" s="349"/>
      <c r="M15" s="349"/>
      <c r="N15" s="349"/>
    </row>
    <row r="16" spans="1:253" ht="12.75" customHeight="1" x14ac:dyDescent="0.35">
      <c r="C16" s="249" t="s">
        <v>136</v>
      </c>
      <c r="D16" s="298">
        <v>21</v>
      </c>
      <c r="F16" s="349"/>
      <c r="G16" s="349"/>
      <c r="H16" s="349"/>
      <c r="I16" s="349"/>
      <c r="J16" s="349"/>
      <c r="M16" s="349"/>
      <c r="N16" s="349"/>
    </row>
    <row r="17" spans="3:14" ht="12.75" customHeight="1" x14ac:dyDescent="0.35">
      <c r="C17" s="250" t="s">
        <v>159</v>
      </c>
      <c r="D17" s="298">
        <v>21</v>
      </c>
      <c r="F17" s="349"/>
      <c r="G17" s="349"/>
      <c r="H17" s="349"/>
      <c r="I17" s="349"/>
      <c r="J17" s="349"/>
      <c r="M17" s="349"/>
      <c r="N17" s="349"/>
    </row>
    <row r="18" spans="3:14" ht="12.75" customHeight="1" x14ac:dyDescent="0.35">
      <c r="C18" s="3"/>
      <c r="D18" s="379"/>
      <c r="F18" s="349"/>
      <c r="G18" s="349"/>
      <c r="H18" s="349"/>
      <c r="I18" s="349"/>
      <c r="J18" s="349"/>
      <c r="M18" s="349"/>
      <c r="N18" s="349"/>
    </row>
    <row r="19" spans="3:14" ht="12.75" customHeight="1" x14ac:dyDescent="0.35">
      <c r="C19" s="319" t="s">
        <v>233</v>
      </c>
      <c r="F19" s="349"/>
      <c r="G19" s="349"/>
      <c r="H19" s="349"/>
      <c r="I19" s="349"/>
      <c r="J19" s="349"/>
      <c r="M19" s="349"/>
      <c r="N19" s="349"/>
    </row>
    <row r="20" spans="3:14" ht="12.75" customHeight="1" x14ac:dyDescent="0.35">
      <c r="C20" s="297" t="s">
        <v>21</v>
      </c>
      <c r="D20" s="297" t="s">
        <v>56</v>
      </c>
      <c r="F20" s="349"/>
      <c r="G20" s="349"/>
      <c r="H20" s="349"/>
      <c r="I20" s="349"/>
      <c r="J20" s="349"/>
      <c r="M20" s="349"/>
      <c r="N20" s="349"/>
    </row>
    <row r="21" spans="3:14" ht="12.75" customHeight="1" x14ac:dyDescent="0.35">
      <c r="C21" s="249" t="s">
        <v>136</v>
      </c>
      <c r="D21" s="298">
        <v>21</v>
      </c>
      <c r="F21" s="349"/>
      <c r="G21" s="349"/>
      <c r="H21" s="349"/>
      <c r="I21" s="349"/>
      <c r="J21" s="349"/>
      <c r="M21" s="349"/>
      <c r="N21" s="349"/>
    </row>
    <row r="22" spans="3:14" ht="12.75" customHeight="1" x14ac:dyDescent="0.35">
      <c r="C22" s="250" t="s">
        <v>159</v>
      </c>
      <c r="D22" s="298">
        <v>14</v>
      </c>
      <c r="F22" s="349"/>
      <c r="G22" s="349"/>
      <c r="H22" s="349"/>
      <c r="I22" s="349"/>
      <c r="J22" s="349"/>
      <c r="M22" s="349"/>
      <c r="N22" s="349"/>
    </row>
    <row r="23" spans="3:14" ht="23.25" x14ac:dyDescent="0.35">
      <c r="F23" s="349"/>
      <c r="G23" s="349"/>
      <c r="H23" s="349"/>
      <c r="I23" s="349"/>
      <c r="J23" s="349"/>
      <c r="M23" s="349"/>
      <c r="N23" s="349"/>
    </row>
    <row r="24" spans="3:14" ht="12.75" customHeight="1" x14ac:dyDescent="0.2">
      <c r="C24" s="319" t="s">
        <v>196</v>
      </c>
    </row>
    <row r="25" spans="3:14" ht="12.75" customHeight="1" x14ac:dyDescent="0.2">
      <c r="C25" s="297" t="s">
        <v>21</v>
      </c>
      <c r="D25" s="297" t="s">
        <v>56</v>
      </c>
    </row>
    <row r="26" spans="3:14" ht="12.75" customHeight="1" x14ac:dyDescent="0.2">
      <c r="C26" s="249" t="s">
        <v>136</v>
      </c>
      <c r="D26" s="298">
        <v>14</v>
      </c>
    </row>
    <row r="27" spans="3:14" ht="12.75" customHeight="1" x14ac:dyDescent="0.2">
      <c r="C27" s="250" t="s">
        <v>159</v>
      </c>
      <c r="D27" s="298">
        <v>14</v>
      </c>
      <c r="G27" s="245"/>
      <c r="J27" s="299"/>
      <c r="K27" s="2"/>
      <c r="L27" s="2"/>
    </row>
    <row r="28" spans="3:14" x14ac:dyDescent="0.2">
      <c r="G28" s="245"/>
      <c r="H28" s="275"/>
      <c r="I28" s="275"/>
      <c r="J28" s="7"/>
      <c r="K28" s="7"/>
      <c r="L28" s="7"/>
      <c r="M28" s="49"/>
    </row>
    <row r="29" spans="3:14" x14ac:dyDescent="0.2">
      <c r="C29" s="319" t="s">
        <v>184</v>
      </c>
      <c r="G29" s="245"/>
      <c r="H29" s="275"/>
      <c r="I29" s="275"/>
      <c r="J29" s="7"/>
      <c r="K29" s="7"/>
      <c r="L29" s="7"/>
      <c r="M29" s="49"/>
    </row>
    <row r="30" spans="3:14" x14ac:dyDescent="0.2">
      <c r="C30" s="297" t="s">
        <v>21</v>
      </c>
      <c r="D30" s="297" t="s">
        <v>56</v>
      </c>
      <c r="G30" s="245"/>
      <c r="H30" s="275"/>
      <c r="I30" s="275"/>
      <c r="J30" s="7"/>
      <c r="K30" s="7"/>
      <c r="L30" s="7"/>
      <c r="M30" s="49"/>
    </row>
    <row r="31" spans="3:14" x14ac:dyDescent="0.2">
      <c r="C31" s="249" t="s">
        <v>136</v>
      </c>
      <c r="D31" s="298">
        <v>14</v>
      </c>
      <c r="G31" s="245"/>
      <c r="H31" s="275"/>
      <c r="I31" s="275"/>
      <c r="J31" s="7"/>
      <c r="K31" s="7"/>
      <c r="L31" s="7"/>
      <c r="M31" s="49"/>
    </row>
    <row r="32" spans="3:14" x14ac:dyDescent="0.2">
      <c r="C32" s="250" t="s">
        <v>159</v>
      </c>
      <c r="D32" s="298">
        <f>+J8</f>
        <v>21</v>
      </c>
      <c r="H32" s="275"/>
      <c r="I32" s="275"/>
      <c r="J32" s="7"/>
      <c r="K32" s="7"/>
      <c r="L32" s="7"/>
      <c r="M32" s="49"/>
    </row>
    <row r="33" spans="3:12" x14ac:dyDescent="0.2">
      <c r="H33" s="49"/>
      <c r="I33" s="49"/>
      <c r="J33" s="300"/>
      <c r="K33" s="300"/>
      <c r="L33" s="300"/>
    </row>
    <row r="34" spans="3:12" x14ac:dyDescent="0.2">
      <c r="C34" s="319" t="s">
        <v>185</v>
      </c>
      <c r="H34" s="49"/>
      <c r="I34" s="49"/>
      <c r="J34" s="300"/>
      <c r="K34" s="300"/>
      <c r="L34" s="300"/>
    </row>
    <row r="35" spans="3:12" x14ac:dyDescent="0.2">
      <c r="C35" s="451" t="s">
        <v>21</v>
      </c>
      <c r="D35" s="451" t="s">
        <v>56</v>
      </c>
      <c r="I35" s="49"/>
      <c r="J35" s="300"/>
      <c r="K35" s="300"/>
      <c r="L35" s="300"/>
    </row>
    <row r="36" spans="3:12" x14ac:dyDescent="0.2">
      <c r="C36" s="452"/>
      <c r="D36" s="452"/>
      <c r="G36" s="49"/>
      <c r="I36" s="279"/>
      <c r="J36" s="300"/>
      <c r="K36" s="300"/>
      <c r="L36" s="300"/>
    </row>
    <row r="37" spans="3:12" x14ac:dyDescent="0.2">
      <c r="C37" s="249" t="s">
        <v>136</v>
      </c>
      <c r="D37" s="298">
        <f>+'VAC 2020'!D20</f>
        <v>0</v>
      </c>
      <c r="I37" s="279"/>
      <c r="J37" s="301"/>
      <c r="K37" s="301"/>
      <c r="L37" s="301"/>
    </row>
    <row r="38" spans="3:12" x14ac:dyDescent="0.2">
      <c r="C38" s="250" t="s">
        <v>159</v>
      </c>
      <c r="D38" s="298">
        <f>+'VAC 2020'!D21</f>
        <v>14</v>
      </c>
    </row>
  </sheetData>
  <mergeCells count="19">
    <mergeCell ref="N5:O5"/>
    <mergeCell ref="P5:P6"/>
    <mergeCell ref="Q5:Q6"/>
    <mergeCell ref="C35:C36"/>
    <mergeCell ref="D35:D36"/>
    <mergeCell ref="G5:G6"/>
    <mergeCell ref="H5:H6"/>
    <mergeCell ref="I5:I6"/>
    <mergeCell ref="J5:J6"/>
    <mergeCell ref="K5:L5"/>
    <mergeCell ref="M5:M6"/>
    <mergeCell ref="E1:F1"/>
    <mergeCell ref="A3:C3"/>
    <mergeCell ref="A5:A6"/>
    <mergeCell ref="B5:B6"/>
    <mergeCell ref="C5:C6"/>
    <mergeCell ref="D5:D6"/>
    <mergeCell ref="E5:E6"/>
    <mergeCell ref="F5:F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S33"/>
  <sheetViews>
    <sheetView workbookViewId="0">
      <selection activeCell="E32" sqref="E32"/>
    </sheetView>
  </sheetViews>
  <sheetFormatPr baseColWidth="10" defaultRowHeight="12.75" x14ac:dyDescent="0.2"/>
  <cols>
    <col min="1" max="1" width="6.7109375" customWidth="1"/>
    <col min="2" max="2" width="14.5703125" customWidth="1"/>
    <col min="3" max="3" width="27.7109375" customWidth="1"/>
    <col min="4" max="4" width="12.5703125" customWidth="1"/>
    <col min="5" max="5" width="13.85546875" customWidth="1"/>
    <col min="6" max="6" width="10.140625" customWidth="1"/>
    <col min="7" max="7" width="7.42578125" customWidth="1"/>
    <col min="8" max="8" width="12.7109375" customWidth="1"/>
    <col min="9" max="9" width="8.7109375" customWidth="1"/>
    <col min="10" max="10" width="10.140625" customWidth="1"/>
    <col min="11" max="13" width="12.42578125" customWidth="1"/>
    <col min="14" max="14" width="13.42578125" customWidth="1"/>
    <col min="16" max="16" width="12.140625" customWidth="1"/>
    <col min="17" max="17" width="14.85546875" customWidth="1"/>
  </cols>
  <sheetData>
    <row r="1" spans="1:253" ht="24" customHeight="1" x14ac:dyDescent="0.35">
      <c r="A1" s="33" t="str">
        <f>+'NOMINA MES'!A1</f>
        <v>AGR SERVICIOS S.R.L.</v>
      </c>
      <c r="E1" s="437">
        <v>45291</v>
      </c>
      <c r="F1" s="438"/>
      <c r="M1" s="216"/>
      <c r="N1" s="215"/>
      <c r="O1" s="215"/>
      <c r="P1" s="216"/>
      <c r="Q1" s="216"/>
    </row>
    <row r="2" spans="1:253" ht="24" customHeight="1" x14ac:dyDescent="0.2">
      <c r="M2" s="68"/>
      <c r="N2" s="67" t="s">
        <v>189</v>
      </c>
      <c r="O2" s="68">
        <v>994.14</v>
      </c>
      <c r="P2" s="68"/>
      <c r="Q2" s="68"/>
    </row>
    <row r="3" spans="1:253" ht="24" customHeight="1" thickBot="1" x14ac:dyDescent="0.35">
      <c r="A3" s="439" t="s">
        <v>232</v>
      </c>
      <c r="B3" s="440"/>
      <c r="C3" s="441"/>
      <c r="D3" s="121"/>
      <c r="E3" s="121"/>
    </row>
    <row r="4" spans="1:253" ht="15.75" thickBot="1" x14ac:dyDescent="0.3">
      <c r="A4" s="25"/>
      <c r="B4" s="70"/>
      <c r="C4" s="26"/>
      <c r="E4" s="27"/>
      <c r="F4" s="28"/>
      <c r="G4" s="71"/>
      <c r="H4" s="29"/>
      <c r="I4" s="30"/>
      <c r="J4" s="31"/>
      <c r="K4" s="31"/>
      <c r="L4" s="31"/>
      <c r="M4" s="68"/>
      <c r="N4" s="148">
        <v>184</v>
      </c>
      <c r="O4" s="148">
        <v>231</v>
      </c>
      <c r="P4" s="274"/>
      <c r="Q4" s="74"/>
    </row>
    <row r="5" spans="1:253" s="10" customFormat="1" ht="13.5" customHeight="1" thickBot="1" x14ac:dyDescent="0.25">
      <c r="A5" s="442" t="s">
        <v>52</v>
      </c>
      <c r="B5" s="442" t="s">
        <v>20</v>
      </c>
      <c r="C5" s="442" t="s">
        <v>21</v>
      </c>
      <c r="D5" s="443" t="s">
        <v>3</v>
      </c>
      <c r="E5" s="443" t="s">
        <v>53</v>
      </c>
      <c r="F5" s="445" t="s">
        <v>54</v>
      </c>
      <c r="G5" s="445" t="s">
        <v>55</v>
      </c>
      <c r="H5" s="453" t="s">
        <v>56</v>
      </c>
      <c r="I5" s="442" t="s">
        <v>57</v>
      </c>
      <c r="J5" s="454" t="s">
        <v>58</v>
      </c>
      <c r="K5" s="455" t="s">
        <v>59</v>
      </c>
      <c r="L5" s="455"/>
      <c r="M5" s="456" t="s">
        <v>60</v>
      </c>
      <c r="N5" s="447" t="s">
        <v>61</v>
      </c>
      <c r="O5" s="448"/>
      <c r="P5" s="449" t="s">
        <v>175</v>
      </c>
      <c r="Q5" s="449" t="s">
        <v>28</v>
      </c>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row>
    <row r="6" spans="1:253" s="10" customFormat="1" ht="39" thickBot="1" x14ac:dyDescent="0.25">
      <c r="A6" s="442" t="s">
        <v>62</v>
      </c>
      <c r="B6" s="442"/>
      <c r="C6" s="442"/>
      <c r="D6" s="444"/>
      <c r="E6" s="444"/>
      <c r="F6" s="446"/>
      <c r="G6" s="446"/>
      <c r="H6" s="453"/>
      <c r="I6" s="442"/>
      <c r="J6" s="454"/>
      <c r="K6" s="288" t="s">
        <v>63</v>
      </c>
      <c r="L6" s="288" t="s">
        <v>64</v>
      </c>
      <c r="M6" s="456"/>
      <c r="N6" s="259" t="s">
        <v>65</v>
      </c>
      <c r="O6" s="259" t="s">
        <v>66</v>
      </c>
      <c r="P6" s="450"/>
      <c r="Q6" s="450"/>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pans="1:253" s="10" customFormat="1" ht="22.5" customHeight="1" x14ac:dyDescent="0.2">
      <c r="A7" s="146">
        <v>1</v>
      </c>
      <c r="B7" s="229" t="s">
        <v>135</v>
      </c>
      <c r="C7" s="47" t="s">
        <v>136</v>
      </c>
      <c r="D7" s="230">
        <f>+'NOMINA MES'!G6</f>
        <v>43283</v>
      </c>
      <c r="E7" s="146" t="str">
        <f>+'NOMINA MES'!E6</f>
        <v>COND 1°</v>
      </c>
      <c r="F7" s="83"/>
      <c r="G7" s="84">
        <f>DATEDIF($D7,$E$1,"y")</f>
        <v>5</v>
      </c>
      <c r="H7" s="260">
        <f t="shared" ref="H7:H8" si="0">IF(G7&gt;=20,35,IF(AND(G7&gt;=10,G7&lt;20),28,IF(AND(G7&gt;=5,G7&lt;10),21,IF(G7&lt;5,14,0))))</f>
        <v>21</v>
      </c>
      <c r="I7" s="86"/>
      <c r="J7" s="261">
        <f>+H7-I7</f>
        <v>21</v>
      </c>
      <c r="K7" s="87"/>
      <c r="L7" s="87"/>
      <c r="M7" s="87"/>
      <c r="N7" s="262">
        <f>(F7)/24*I7</f>
        <v>0</v>
      </c>
      <c r="O7" s="262">
        <f>764.72*I7</f>
        <v>0</v>
      </c>
      <c r="P7" s="262">
        <f>+N7+O7</f>
        <v>0</v>
      </c>
      <c r="Q7" s="262">
        <f>ROUNDUP(N7+O7-(N7+O7)*0.215,0)</f>
        <v>0</v>
      </c>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row>
    <row r="8" spans="1:253" s="10" customFormat="1" ht="22.5" customHeight="1" x14ac:dyDescent="0.2">
      <c r="A8" s="146">
        <v>2</v>
      </c>
      <c r="B8" s="229" t="s">
        <v>158</v>
      </c>
      <c r="C8" s="47" t="s">
        <v>159</v>
      </c>
      <c r="D8" s="350">
        <v>43511</v>
      </c>
      <c r="E8" s="146" t="str">
        <f>+'NOMINA MES'!E7</f>
        <v>COND 1°</v>
      </c>
      <c r="F8" s="83"/>
      <c r="G8" s="84">
        <f t="shared" ref="G8" si="1">DATEDIF($D8,$E$1,"y")</f>
        <v>4</v>
      </c>
      <c r="H8" s="260">
        <f t="shared" si="0"/>
        <v>14</v>
      </c>
      <c r="I8" s="86"/>
      <c r="J8" s="261">
        <f>+H8-I8</f>
        <v>14</v>
      </c>
      <c r="K8" s="87"/>
      <c r="L8" s="87"/>
      <c r="M8" s="87"/>
      <c r="N8" s="262">
        <f t="shared" ref="N8" si="2">(F8)/24*I8</f>
        <v>0</v>
      </c>
      <c r="O8" s="262">
        <f t="shared" ref="O8" si="3">764.72*I8</f>
        <v>0</v>
      </c>
      <c r="P8" s="262">
        <f t="shared" ref="P8" si="4">+N8+O8</f>
        <v>0</v>
      </c>
      <c r="Q8" s="262">
        <f>ROUNDUP(N8+O8-(N8+O8)*0.215,0)</f>
        <v>0</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ht="22.5" customHeight="1" x14ac:dyDescent="0.2">
      <c r="A9" s="35"/>
      <c r="B9" s="234"/>
      <c r="E9" s="35"/>
      <c r="F9" s="237"/>
      <c r="G9" s="238"/>
      <c r="H9" s="242"/>
      <c r="I9" s="239"/>
      <c r="J9" s="243"/>
      <c r="K9" s="240"/>
      <c r="L9" s="240"/>
      <c r="M9" s="240"/>
      <c r="N9" s="241"/>
      <c r="O9" s="241"/>
      <c r="P9" s="241"/>
      <c r="Q9" s="241"/>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ht="22.5" customHeight="1" thickBot="1" x14ac:dyDescent="0.25">
      <c r="A10" s="35"/>
      <c r="B10" s="234"/>
      <c r="E10" s="35"/>
      <c r="F10" s="237"/>
      <c r="G10" s="238"/>
      <c r="H10" s="242"/>
      <c r="I10" s="239"/>
      <c r="J10" s="243"/>
      <c r="K10" s="240"/>
      <c r="L10" s="240"/>
      <c r="M10" s="240"/>
      <c r="N10" s="241"/>
      <c r="O10" s="241"/>
      <c r="P10" s="241"/>
      <c r="Q10" s="241"/>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ht="24" thickBot="1" x14ac:dyDescent="0.4">
      <c r="F11" s="196" t="s">
        <v>129</v>
      </c>
      <c r="G11" s="197"/>
      <c r="H11" s="197"/>
      <c r="I11" s="197"/>
      <c r="J11" s="198"/>
      <c r="K11" s="194"/>
      <c r="L11" s="195"/>
    </row>
    <row r="12" spans="1:253" ht="13.5" thickBot="1" x14ac:dyDescent="0.25"/>
    <row r="13" spans="1:253" ht="24" thickBot="1" x14ac:dyDescent="0.4">
      <c r="F13" s="196" t="s">
        <v>130</v>
      </c>
      <c r="G13" s="197"/>
      <c r="H13" s="197"/>
      <c r="I13" s="197"/>
      <c r="J13" s="198"/>
      <c r="K13" s="194"/>
      <c r="L13" s="195"/>
      <c r="M13" s="196"/>
      <c r="N13" s="197"/>
      <c r="O13" s="195"/>
      <c r="P13" s="195"/>
      <c r="Q13" s="195"/>
      <c r="R13" s="195"/>
      <c r="S13" s="195"/>
      <c r="T13" s="195"/>
      <c r="U13" s="195"/>
    </row>
    <row r="14" spans="1:253" ht="12.75" customHeight="1" x14ac:dyDescent="0.35">
      <c r="C14" s="319" t="s">
        <v>233</v>
      </c>
      <c r="F14" s="349"/>
      <c r="G14" s="349"/>
      <c r="H14" s="349"/>
      <c r="I14" s="349"/>
      <c r="J14" s="349"/>
      <c r="M14" s="349"/>
      <c r="N14" s="349"/>
    </row>
    <row r="15" spans="1:253" ht="12.75" customHeight="1" x14ac:dyDescent="0.35">
      <c r="C15" s="297" t="s">
        <v>21</v>
      </c>
      <c r="D15" s="297" t="s">
        <v>56</v>
      </c>
      <c r="F15" s="349"/>
      <c r="G15" s="349"/>
      <c r="H15" s="349"/>
      <c r="I15" s="349"/>
      <c r="J15" s="349"/>
      <c r="M15" s="349"/>
      <c r="N15" s="349"/>
    </row>
    <row r="16" spans="1:253" ht="12.75" customHeight="1" x14ac:dyDescent="0.35">
      <c r="C16" s="249" t="s">
        <v>136</v>
      </c>
      <c r="D16" s="298">
        <v>21</v>
      </c>
      <c r="F16" s="349"/>
      <c r="G16" s="349"/>
      <c r="H16" s="349"/>
      <c r="I16" s="349"/>
      <c r="J16" s="349"/>
      <c r="M16" s="349"/>
      <c r="N16" s="349"/>
    </row>
    <row r="17" spans="3:14" ht="12.75" customHeight="1" x14ac:dyDescent="0.35">
      <c r="C17" s="250" t="s">
        <v>159</v>
      </c>
      <c r="D17" s="298">
        <v>14</v>
      </c>
      <c r="F17" s="349"/>
      <c r="G17" s="349"/>
      <c r="H17" s="349"/>
      <c r="I17" s="349"/>
      <c r="J17" s="349"/>
      <c r="M17" s="349"/>
      <c r="N17" s="349"/>
    </row>
    <row r="18" spans="3:14" ht="23.25" x14ac:dyDescent="0.35">
      <c r="F18" s="349"/>
      <c r="G18" s="349"/>
      <c r="H18" s="349"/>
      <c r="I18" s="349"/>
      <c r="J18" s="349"/>
      <c r="M18" s="349"/>
      <c r="N18" s="349"/>
    </row>
    <row r="19" spans="3:14" ht="12.75" customHeight="1" x14ac:dyDescent="0.2">
      <c r="C19" s="319" t="s">
        <v>196</v>
      </c>
    </row>
    <row r="20" spans="3:14" ht="12.75" customHeight="1" x14ac:dyDescent="0.2">
      <c r="C20" s="297" t="s">
        <v>21</v>
      </c>
      <c r="D20" s="297" t="s">
        <v>56</v>
      </c>
    </row>
    <row r="21" spans="3:14" ht="12.75" customHeight="1" x14ac:dyDescent="0.2">
      <c r="C21" s="249" t="s">
        <v>136</v>
      </c>
      <c r="D21" s="298">
        <v>14</v>
      </c>
    </row>
    <row r="22" spans="3:14" ht="12.75" customHeight="1" x14ac:dyDescent="0.2">
      <c r="C22" s="250" t="s">
        <v>159</v>
      </c>
      <c r="D22" s="298">
        <v>14</v>
      </c>
      <c r="G22" s="245"/>
      <c r="J22" s="299"/>
      <c r="K22" s="2"/>
      <c r="L22" s="2"/>
    </row>
    <row r="23" spans="3:14" x14ac:dyDescent="0.2">
      <c r="G23" s="245"/>
      <c r="H23" s="275"/>
      <c r="I23" s="275"/>
      <c r="J23" s="7"/>
      <c r="K23" s="7"/>
      <c r="L23" s="7"/>
      <c r="M23" s="49"/>
    </row>
    <row r="24" spans="3:14" x14ac:dyDescent="0.2">
      <c r="C24" t="s">
        <v>184</v>
      </c>
      <c r="G24" s="245"/>
      <c r="H24" s="275"/>
      <c r="I24" s="275"/>
      <c r="J24" s="7"/>
      <c r="K24" s="7"/>
      <c r="L24" s="7"/>
      <c r="M24" s="49"/>
    </row>
    <row r="25" spans="3:14" x14ac:dyDescent="0.2">
      <c r="C25" s="297" t="s">
        <v>21</v>
      </c>
      <c r="D25" s="297" t="s">
        <v>56</v>
      </c>
      <c r="G25" s="245"/>
      <c r="H25" s="275"/>
      <c r="I25" s="275"/>
      <c r="J25" s="7"/>
      <c r="K25" s="7"/>
      <c r="L25" s="7"/>
      <c r="M25" s="49"/>
    </row>
    <row r="26" spans="3:14" x14ac:dyDescent="0.2">
      <c r="C26" s="249" t="s">
        <v>136</v>
      </c>
      <c r="D26" s="298">
        <v>14</v>
      </c>
      <c r="G26" s="245"/>
      <c r="H26" s="275"/>
      <c r="I26" s="275"/>
      <c r="J26" s="7"/>
      <c r="K26" s="7"/>
      <c r="L26" s="7"/>
      <c r="M26" s="49"/>
    </row>
    <row r="27" spans="3:14" x14ac:dyDescent="0.2">
      <c r="C27" s="250" t="s">
        <v>159</v>
      </c>
      <c r="D27" s="298">
        <f>+J8</f>
        <v>14</v>
      </c>
      <c r="H27" s="275"/>
      <c r="I27" s="275"/>
      <c r="J27" s="7"/>
      <c r="K27" s="7"/>
      <c r="L27" s="7"/>
      <c r="M27" s="49"/>
    </row>
    <row r="28" spans="3:14" x14ac:dyDescent="0.2">
      <c r="H28" s="49"/>
      <c r="I28" s="49"/>
      <c r="J28" s="300"/>
      <c r="K28" s="300"/>
      <c r="L28" s="300"/>
    </row>
    <row r="29" spans="3:14" x14ac:dyDescent="0.2">
      <c r="C29" t="s">
        <v>185</v>
      </c>
      <c r="H29" s="49"/>
      <c r="I29" s="49"/>
      <c r="J29" s="300"/>
      <c r="K29" s="300"/>
      <c r="L29" s="300"/>
    </row>
    <row r="30" spans="3:14" x14ac:dyDescent="0.2">
      <c r="C30" s="451" t="s">
        <v>21</v>
      </c>
      <c r="D30" s="451" t="s">
        <v>56</v>
      </c>
      <c r="I30" s="49"/>
      <c r="J30" s="300"/>
      <c r="K30" s="300"/>
      <c r="L30" s="300"/>
    </row>
    <row r="31" spans="3:14" x14ac:dyDescent="0.2">
      <c r="C31" s="452"/>
      <c r="D31" s="452"/>
      <c r="G31" s="49"/>
      <c r="I31" s="279"/>
      <c r="J31" s="300"/>
      <c r="K31" s="300"/>
      <c r="L31" s="300"/>
    </row>
    <row r="32" spans="3:14" x14ac:dyDescent="0.2">
      <c r="C32" s="249" t="s">
        <v>136</v>
      </c>
      <c r="D32" s="298">
        <f>+'VAC 2020'!D20</f>
        <v>0</v>
      </c>
      <c r="I32" s="279"/>
      <c r="J32" s="301"/>
      <c r="K32" s="301"/>
      <c r="L32" s="301"/>
    </row>
    <row r="33" spans="3:4" x14ac:dyDescent="0.2">
      <c r="C33" s="250" t="s">
        <v>159</v>
      </c>
      <c r="D33" s="298">
        <f>+'VAC 2020'!D21</f>
        <v>14</v>
      </c>
    </row>
  </sheetData>
  <mergeCells count="19">
    <mergeCell ref="E1:F1"/>
    <mergeCell ref="A3:C3"/>
    <mergeCell ref="A5:A6"/>
    <mergeCell ref="B5:B6"/>
    <mergeCell ref="C5:C6"/>
    <mergeCell ref="D5:D6"/>
    <mergeCell ref="E5:E6"/>
    <mergeCell ref="F5:F6"/>
    <mergeCell ref="N5:O5"/>
    <mergeCell ref="P5:P6"/>
    <mergeCell ref="Q5:Q6"/>
    <mergeCell ref="C30:C31"/>
    <mergeCell ref="D30:D31"/>
    <mergeCell ref="G5:G6"/>
    <mergeCell ref="H5:H6"/>
    <mergeCell ref="I5:I6"/>
    <mergeCell ref="J5:J6"/>
    <mergeCell ref="K5:L5"/>
    <mergeCell ref="M5:M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S32"/>
  <sheetViews>
    <sheetView topLeftCell="A5" workbookViewId="0">
      <selection activeCell="D18" sqref="D18"/>
    </sheetView>
  </sheetViews>
  <sheetFormatPr baseColWidth="10" defaultRowHeight="12.75" x14ac:dyDescent="0.2"/>
  <cols>
    <col min="1" max="1" width="6.7109375" customWidth="1"/>
    <col min="2" max="2" width="14.5703125" customWidth="1"/>
    <col min="3" max="3" width="27.7109375" customWidth="1"/>
    <col min="4" max="4" width="12.5703125" customWidth="1"/>
    <col min="5" max="5" width="13.85546875" customWidth="1"/>
    <col min="6" max="6" width="10.140625" customWidth="1"/>
    <col min="7" max="7" width="7.42578125" customWidth="1"/>
    <col min="8" max="8" width="12.7109375" customWidth="1"/>
    <col min="9" max="9" width="8.7109375" customWidth="1"/>
    <col min="10" max="10" width="10.140625" customWidth="1"/>
    <col min="11" max="13" width="12.42578125" customWidth="1"/>
    <col min="14" max="14" width="13.42578125" customWidth="1"/>
    <col min="16" max="16" width="12.140625" customWidth="1"/>
    <col min="17" max="17" width="14.85546875" customWidth="1"/>
  </cols>
  <sheetData>
    <row r="1" spans="1:253" ht="24" customHeight="1" x14ac:dyDescent="0.35">
      <c r="A1" s="33" t="str">
        <f>+'NOMINA MES'!A1</f>
        <v>AGR SERVICIOS S.R.L.</v>
      </c>
      <c r="E1" s="437">
        <v>44926</v>
      </c>
      <c r="F1" s="438"/>
      <c r="M1" s="216"/>
      <c r="N1" s="215"/>
      <c r="O1" s="215"/>
      <c r="P1" s="216"/>
      <c r="Q1" s="216"/>
    </row>
    <row r="2" spans="1:253" ht="24" customHeight="1" x14ac:dyDescent="0.2">
      <c r="M2" s="68"/>
      <c r="N2" s="67" t="s">
        <v>189</v>
      </c>
      <c r="O2" s="68">
        <v>994.14</v>
      </c>
      <c r="P2" s="68"/>
      <c r="Q2" s="68"/>
    </row>
    <row r="3" spans="1:253" ht="24" customHeight="1" thickBot="1" x14ac:dyDescent="0.35">
      <c r="A3" s="439" t="s">
        <v>197</v>
      </c>
      <c r="B3" s="440"/>
      <c r="C3" s="441"/>
      <c r="D3" s="121"/>
      <c r="E3" s="121"/>
    </row>
    <row r="4" spans="1:253" ht="15.75" thickBot="1" x14ac:dyDescent="0.3">
      <c r="A4" s="25"/>
      <c r="B4" s="70"/>
      <c r="C4" s="26"/>
      <c r="E4" s="27"/>
      <c r="F4" s="28"/>
      <c r="G4" s="71"/>
      <c r="H4" s="29"/>
      <c r="I4" s="30"/>
      <c r="J4" s="31"/>
      <c r="K4" s="31"/>
      <c r="L4" s="31"/>
      <c r="M4" s="68"/>
      <c r="N4" s="148">
        <v>184</v>
      </c>
      <c r="O4" s="148">
        <v>231</v>
      </c>
      <c r="P4" s="274"/>
      <c r="Q4" s="74"/>
    </row>
    <row r="5" spans="1:253" s="10" customFormat="1" ht="13.5" customHeight="1" thickBot="1" x14ac:dyDescent="0.25">
      <c r="A5" s="442" t="s">
        <v>52</v>
      </c>
      <c r="B5" s="442" t="s">
        <v>20</v>
      </c>
      <c r="C5" s="442" t="s">
        <v>21</v>
      </c>
      <c r="D5" s="443" t="s">
        <v>3</v>
      </c>
      <c r="E5" s="443" t="s">
        <v>53</v>
      </c>
      <c r="F5" s="445" t="s">
        <v>54</v>
      </c>
      <c r="G5" s="445" t="s">
        <v>55</v>
      </c>
      <c r="H5" s="453" t="s">
        <v>56</v>
      </c>
      <c r="I5" s="442" t="s">
        <v>57</v>
      </c>
      <c r="J5" s="454" t="s">
        <v>58</v>
      </c>
      <c r="K5" s="455" t="s">
        <v>59</v>
      </c>
      <c r="L5" s="455"/>
      <c r="M5" s="456" t="s">
        <v>60</v>
      </c>
      <c r="N5" s="447" t="s">
        <v>61</v>
      </c>
      <c r="O5" s="448"/>
      <c r="P5" s="449" t="s">
        <v>175</v>
      </c>
      <c r="Q5" s="449" t="s">
        <v>28</v>
      </c>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row>
    <row r="6" spans="1:253" s="10" customFormat="1" ht="39" thickBot="1" x14ac:dyDescent="0.25">
      <c r="A6" s="442" t="s">
        <v>62</v>
      </c>
      <c r="B6" s="442"/>
      <c r="C6" s="442"/>
      <c r="D6" s="444"/>
      <c r="E6" s="444"/>
      <c r="F6" s="446"/>
      <c r="G6" s="446"/>
      <c r="H6" s="453"/>
      <c r="I6" s="442"/>
      <c r="J6" s="454"/>
      <c r="K6" s="288" t="s">
        <v>63</v>
      </c>
      <c r="L6" s="288" t="s">
        <v>64</v>
      </c>
      <c r="M6" s="456"/>
      <c r="N6" s="259" t="s">
        <v>65</v>
      </c>
      <c r="O6" s="259" t="s">
        <v>66</v>
      </c>
      <c r="P6" s="450"/>
      <c r="Q6" s="450"/>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pans="1:253" s="10" customFormat="1" ht="22.5" customHeight="1" x14ac:dyDescent="0.2">
      <c r="A7" s="146">
        <v>1</v>
      </c>
      <c r="B7" s="229" t="s">
        <v>135</v>
      </c>
      <c r="C7" s="47" t="s">
        <v>136</v>
      </c>
      <c r="D7" s="230">
        <f>+'NOMINA MES'!G6</f>
        <v>43283</v>
      </c>
      <c r="E7" s="146" t="str">
        <f>+'NOMINA MES'!E6</f>
        <v>COND 1°</v>
      </c>
      <c r="F7" s="83"/>
      <c r="G7" s="84">
        <f>DATEDIF($D7,$E$1,"y")</f>
        <v>4</v>
      </c>
      <c r="H7" s="260">
        <f t="shared" ref="H7:H9" si="0">IF(G7&gt;=20,35,IF(AND(G7&gt;=10,G7&lt;20),28,IF(AND(G7&gt;=5,G7&lt;10),21,IF(G7&lt;5,14,0))))</f>
        <v>14</v>
      </c>
      <c r="I7" s="86"/>
      <c r="J7" s="261">
        <f>+H7-I7</f>
        <v>14</v>
      </c>
      <c r="K7" s="87"/>
      <c r="L7" s="87"/>
      <c r="M7" s="87"/>
      <c r="N7" s="262">
        <f>(F7)/24*I7</f>
        <v>0</v>
      </c>
      <c r="O7" s="262">
        <f>764.72*I7</f>
        <v>0</v>
      </c>
      <c r="P7" s="262">
        <f>+N7+O7</f>
        <v>0</v>
      </c>
      <c r="Q7" s="262">
        <f>ROUNDUP(N7+O7-(N7+O7)*0.215,0)</f>
        <v>0</v>
      </c>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row>
    <row r="8" spans="1:253" s="10" customFormat="1" ht="22.5" customHeight="1" x14ac:dyDescent="0.2">
      <c r="A8" s="38">
        <v>2</v>
      </c>
      <c r="B8" s="39" t="s">
        <v>158</v>
      </c>
      <c r="C8" s="40" t="s">
        <v>159</v>
      </c>
      <c r="D8" s="185">
        <v>43511</v>
      </c>
      <c r="E8" s="146" t="str">
        <f>+'NOMINA MES'!E7</f>
        <v>COND 1°</v>
      </c>
      <c r="F8" s="83"/>
      <c r="G8" s="84">
        <f t="shared" ref="G8:G9" si="1">DATEDIF($D8,$E$1,"y")</f>
        <v>3</v>
      </c>
      <c r="H8" s="260">
        <f t="shared" si="0"/>
        <v>14</v>
      </c>
      <c r="I8" s="86"/>
      <c r="J8" s="261">
        <f>+H8-I8</f>
        <v>14</v>
      </c>
      <c r="K8" s="87"/>
      <c r="L8" s="87"/>
      <c r="M8" s="87"/>
      <c r="N8" s="262">
        <f t="shared" ref="N8:N9" si="2">(F8)/24*I8</f>
        <v>0</v>
      </c>
      <c r="O8" s="262">
        <f t="shared" ref="O8:O9" si="3">764.72*I8</f>
        <v>0</v>
      </c>
      <c r="P8" s="262">
        <f t="shared" ref="P8:P9" si="4">+N8+O8</f>
        <v>0</v>
      </c>
      <c r="Q8" s="262">
        <f>ROUNDUP(N8+O8-(N8+O8)*0.215,0)</f>
        <v>0</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s="10" customFormat="1" ht="22.5" customHeight="1" x14ac:dyDescent="0.2">
      <c r="A9" s="146">
        <v>3</v>
      </c>
      <c r="B9" s="229" t="s">
        <v>161</v>
      </c>
      <c r="C9" s="47" t="s">
        <v>162</v>
      </c>
      <c r="D9" s="244">
        <v>43559</v>
      </c>
      <c r="E9" s="146" t="e">
        <f>+'NOMINA MES'!#REF!</f>
        <v>#REF!</v>
      </c>
      <c r="F9" s="83"/>
      <c r="G9" s="84">
        <f t="shared" si="1"/>
        <v>3</v>
      </c>
      <c r="H9" s="260">
        <f t="shared" si="0"/>
        <v>14</v>
      </c>
      <c r="I9" s="86"/>
      <c r="J9" s="261">
        <f>+H9-I9</f>
        <v>14</v>
      </c>
      <c r="K9" s="87"/>
      <c r="L9" s="87"/>
      <c r="M9" s="87"/>
      <c r="N9" s="262">
        <f t="shared" si="2"/>
        <v>0</v>
      </c>
      <c r="O9" s="262">
        <f t="shared" si="3"/>
        <v>0</v>
      </c>
      <c r="P9" s="262">
        <f t="shared" si="4"/>
        <v>0</v>
      </c>
      <c r="Q9" s="262">
        <f>ROUNDUP(N9+O9-(N9+O9)*0.215,0)</f>
        <v>0</v>
      </c>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ht="22.5" customHeight="1" x14ac:dyDescent="0.2">
      <c r="A10" s="35"/>
      <c r="B10" s="234"/>
      <c r="E10" s="35"/>
      <c r="F10" s="237"/>
      <c r="G10" s="238"/>
      <c r="H10" s="242"/>
      <c r="I10" s="239"/>
      <c r="J10" s="243"/>
      <c r="K10" s="240"/>
      <c r="L10" s="240"/>
      <c r="M10" s="240"/>
      <c r="N10" s="241"/>
      <c r="O10" s="241"/>
      <c r="P10" s="241"/>
      <c r="Q10" s="241"/>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ht="22.5" customHeight="1" thickBot="1" x14ac:dyDescent="0.25">
      <c r="A11" s="35"/>
      <c r="B11" s="234"/>
      <c r="E11" s="35"/>
      <c r="F11" s="237"/>
      <c r="G11" s="238"/>
      <c r="H11" s="242"/>
      <c r="I11" s="239"/>
      <c r="J11" s="243"/>
      <c r="K11" s="240"/>
      <c r="L11" s="240"/>
      <c r="M11" s="240"/>
      <c r="N11" s="241"/>
      <c r="O11" s="241"/>
      <c r="P11" s="241"/>
      <c r="Q11" s="241"/>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row>
    <row r="12" spans="1:253" ht="24" thickBot="1" x14ac:dyDescent="0.4">
      <c r="F12" s="196" t="s">
        <v>129</v>
      </c>
      <c r="G12" s="197"/>
      <c r="H12" s="197"/>
      <c r="I12" s="197"/>
      <c r="J12" s="198"/>
      <c r="K12" s="194"/>
      <c r="L12" s="195"/>
    </row>
    <row r="13" spans="1:253" ht="13.5" thickBot="1" x14ac:dyDescent="0.25"/>
    <row r="14" spans="1:253" ht="24" thickBot="1" x14ac:dyDescent="0.4">
      <c r="F14" s="196" t="s">
        <v>130</v>
      </c>
      <c r="G14" s="197"/>
      <c r="H14" s="197"/>
      <c r="I14" s="197"/>
      <c r="J14" s="198"/>
      <c r="K14" s="194"/>
      <c r="L14" s="195"/>
      <c r="M14" s="196"/>
      <c r="N14" s="197"/>
      <c r="O14" s="195"/>
      <c r="P14" s="195"/>
      <c r="Q14" s="195"/>
      <c r="R14" s="195"/>
      <c r="S14" s="195"/>
      <c r="T14" s="195"/>
      <c r="U14" s="195"/>
    </row>
    <row r="15" spans="1:253" x14ac:dyDescent="0.2">
      <c r="C15" s="319" t="s">
        <v>196</v>
      </c>
    </row>
    <row r="16" spans="1:253" x14ac:dyDescent="0.2">
      <c r="C16" s="297" t="s">
        <v>21</v>
      </c>
      <c r="D16" s="297" t="s">
        <v>56</v>
      </c>
    </row>
    <row r="17" spans="3:13" x14ac:dyDescent="0.2">
      <c r="C17" s="249" t="s">
        <v>136</v>
      </c>
      <c r="D17" s="298">
        <v>14</v>
      </c>
    </row>
    <row r="18" spans="3:13" x14ac:dyDescent="0.2">
      <c r="C18" s="250" t="s">
        <v>159</v>
      </c>
      <c r="D18" s="298">
        <v>14</v>
      </c>
      <c r="G18" s="245"/>
      <c r="J18" s="299"/>
      <c r="K18" s="2"/>
      <c r="L18" s="2"/>
    </row>
    <row r="19" spans="3:13" x14ac:dyDescent="0.2">
      <c r="C19" s="250" t="s">
        <v>162</v>
      </c>
      <c r="D19" s="298">
        <v>14</v>
      </c>
      <c r="G19" s="245"/>
      <c r="H19" s="275"/>
      <c r="I19" s="275"/>
      <c r="J19" s="7"/>
      <c r="K19" s="7"/>
      <c r="L19" s="7"/>
      <c r="M19" s="49"/>
    </row>
    <row r="20" spans="3:13" x14ac:dyDescent="0.2">
      <c r="G20" s="245"/>
      <c r="H20" s="275"/>
      <c r="I20" s="275"/>
      <c r="J20" s="7"/>
      <c r="K20" s="7"/>
      <c r="L20" s="7"/>
      <c r="M20" s="49"/>
    </row>
    <row r="21" spans="3:13" x14ac:dyDescent="0.2">
      <c r="C21" t="s">
        <v>184</v>
      </c>
      <c r="G21" s="245"/>
      <c r="H21" s="275"/>
      <c r="I21" s="275"/>
      <c r="J21" s="7"/>
      <c r="K21" s="7"/>
      <c r="L21" s="7"/>
      <c r="M21" s="49"/>
    </row>
    <row r="22" spans="3:13" x14ac:dyDescent="0.2">
      <c r="C22" s="297" t="s">
        <v>21</v>
      </c>
      <c r="D22" s="297" t="s">
        <v>56</v>
      </c>
      <c r="G22" s="245"/>
      <c r="H22" s="275"/>
      <c r="I22" s="275"/>
      <c r="J22" s="7"/>
      <c r="K22" s="7"/>
      <c r="L22" s="7"/>
      <c r="M22" s="49"/>
    </row>
    <row r="23" spans="3:13" x14ac:dyDescent="0.2">
      <c r="C23" s="249" t="s">
        <v>136</v>
      </c>
      <c r="D23" s="298">
        <f>+J7</f>
        <v>14</v>
      </c>
      <c r="G23" s="245"/>
      <c r="H23" s="275"/>
      <c r="I23" s="275"/>
      <c r="J23" s="7"/>
      <c r="K23" s="7"/>
      <c r="L23" s="7"/>
      <c r="M23" s="49"/>
    </row>
    <row r="24" spans="3:13" x14ac:dyDescent="0.2">
      <c r="C24" s="250" t="s">
        <v>159</v>
      </c>
      <c r="D24" s="298">
        <f>+J8</f>
        <v>14</v>
      </c>
      <c r="H24" s="275"/>
      <c r="I24" s="275"/>
      <c r="J24" s="7"/>
      <c r="K24" s="7"/>
      <c r="L24" s="7"/>
      <c r="M24" s="49"/>
    </row>
    <row r="25" spans="3:13" x14ac:dyDescent="0.2">
      <c r="C25" s="250" t="s">
        <v>162</v>
      </c>
      <c r="D25" s="298">
        <f>+J9</f>
        <v>14</v>
      </c>
      <c r="H25" s="49"/>
      <c r="I25" s="49"/>
      <c r="J25" s="300"/>
      <c r="K25" s="300"/>
      <c r="L25" s="300"/>
      <c r="M25" s="49"/>
    </row>
    <row r="26" spans="3:13" x14ac:dyDescent="0.2">
      <c r="H26" s="49"/>
      <c r="I26" s="49"/>
      <c r="J26" s="300"/>
      <c r="K26" s="300"/>
      <c r="L26" s="300"/>
    </row>
    <row r="27" spans="3:13" x14ac:dyDescent="0.2">
      <c r="C27" t="s">
        <v>185</v>
      </c>
      <c r="H27" s="49"/>
      <c r="I27" s="49"/>
      <c r="J27" s="300"/>
      <c r="K27" s="300"/>
      <c r="L27" s="300"/>
    </row>
    <row r="28" spans="3:13" x14ac:dyDescent="0.2">
      <c r="C28" s="451" t="s">
        <v>21</v>
      </c>
      <c r="D28" s="451" t="s">
        <v>56</v>
      </c>
      <c r="I28" s="49"/>
      <c r="J28" s="300"/>
      <c r="K28" s="300"/>
      <c r="L28" s="300"/>
    </row>
    <row r="29" spans="3:13" x14ac:dyDescent="0.2">
      <c r="C29" s="452"/>
      <c r="D29" s="452"/>
      <c r="G29" s="49"/>
      <c r="I29" s="279"/>
      <c r="J29" s="300"/>
      <c r="K29" s="300"/>
      <c r="L29" s="300"/>
    </row>
    <row r="30" spans="3:13" x14ac:dyDescent="0.2">
      <c r="C30" s="249" t="s">
        <v>136</v>
      </c>
      <c r="D30" s="298">
        <f>+'VAC 2020'!D20</f>
        <v>0</v>
      </c>
      <c r="I30" s="279"/>
      <c r="J30" s="301"/>
      <c r="K30" s="301"/>
      <c r="L30" s="301"/>
    </row>
    <row r="31" spans="3:13" x14ac:dyDescent="0.2">
      <c r="C31" s="250" t="s">
        <v>159</v>
      </c>
      <c r="D31" s="298">
        <f>+'VAC 2020'!D21</f>
        <v>14</v>
      </c>
    </row>
    <row r="32" spans="3:13" x14ac:dyDescent="0.2">
      <c r="C32" s="250" t="s">
        <v>162</v>
      </c>
      <c r="D32" s="298">
        <f>+'VAC 2020'!D22</f>
        <v>14</v>
      </c>
    </row>
  </sheetData>
  <mergeCells count="19">
    <mergeCell ref="N5:O5"/>
    <mergeCell ref="P5:P6"/>
    <mergeCell ref="Q5:Q6"/>
    <mergeCell ref="C28:C29"/>
    <mergeCell ref="D28:D29"/>
    <mergeCell ref="G5:G6"/>
    <mergeCell ref="H5:H6"/>
    <mergeCell ref="I5:I6"/>
    <mergeCell ref="J5:J6"/>
    <mergeCell ref="K5:L5"/>
    <mergeCell ref="M5:M6"/>
    <mergeCell ref="E1:F1"/>
    <mergeCell ref="A3:C3"/>
    <mergeCell ref="A5:A6"/>
    <mergeCell ref="B5:B6"/>
    <mergeCell ref="C5:C6"/>
    <mergeCell ref="D5:D6"/>
    <mergeCell ref="E5:E6"/>
    <mergeCell ref="F5: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S29"/>
  <sheetViews>
    <sheetView topLeftCell="A8" workbookViewId="0">
      <selection activeCell="G13" sqref="G13"/>
    </sheetView>
  </sheetViews>
  <sheetFormatPr baseColWidth="10" defaultRowHeight="12.75" x14ac:dyDescent="0.2"/>
  <cols>
    <col min="1" max="1" width="6.7109375" customWidth="1"/>
    <col min="2" max="2" width="14.5703125" customWidth="1"/>
    <col min="3" max="3" width="27.7109375" customWidth="1"/>
    <col min="4" max="4" width="12.5703125" customWidth="1"/>
    <col min="5" max="5" width="13.85546875" customWidth="1"/>
    <col min="6" max="6" width="10.140625" customWidth="1"/>
    <col min="7" max="7" width="7.42578125" customWidth="1"/>
    <col min="8" max="8" width="12.7109375" customWidth="1"/>
    <col min="9" max="9" width="8.7109375" customWidth="1"/>
    <col min="10" max="10" width="10.140625" customWidth="1"/>
    <col min="11" max="13" width="12.42578125" customWidth="1"/>
    <col min="14" max="14" width="13.42578125" customWidth="1"/>
    <col min="16" max="16" width="12.140625" customWidth="1"/>
    <col min="17" max="17" width="14.85546875" customWidth="1"/>
  </cols>
  <sheetData>
    <row r="1" spans="1:253" ht="24" customHeight="1" x14ac:dyDescent="0.35">
      <c r="A1" s="33" t="str">
        <f>+'NOMINA MES'!A1</f>
        <v>AGR SERVICIOS S.R.L.</v>
      </c>
      <c r="E1" s="437">
        <v>44561</v>
      </c>
      <c r="F1" s="438"/>
      <c r="M1" s="216"/>
      <c r="N1" s="215"/>
      <c r="O1" s="215"/>
      <c r="P1" s="216"/>
      <c r="Q1" s="216"/>
    </row>
    <row r="2" spans="1:253" ht="24" customHeight="1" x14ac:dyDescent="0.2">
      <c r="M2" s="68"/>
      <c r="N2" s="67" t="s">
        <v>189</v>
      </c>
      <c r="O2" s="68">
        <v>994.14</v>
      </c>
      <c r="P2" s="68"/>
      <c r="Q2" s="68"/>
    </row>
    <row r="3" spans="1:253" ht="24" customHeight="1" thickBot="1" x14ac:dyDescent="0.35">
      <c r="A3" s="439" t="s">
        <v>186</v>
      </c>
      <c r="B3" s="440"/>
      <c r="C3" s="441"/>
      <c r="D3" s="121"/>
      <c r="E3" s="121"/>
    </row>
    <row r="4" spans="1:253" ht="15.75" thickBot="1" x14ac:dyDescent="0.3">
      <c r="A4" s="25"/>
      <c r="B4" s="70"/>
      <c r="C4" s="26"/>
      <c r="E4" s="27"/>
      <c r="F4" s="28"/>
      <c r="G4" s="71"/>
      <c r="H4" s="29"/>
      <c r="I4" s="30"/>
      <c r="J4" s="31"/>
      <c r="K4" s="31"/>
      <c r="L4" s="31"/>
      <c r="M4" s="68"/>
      <c r="N4" s="148">
        <v>184</v>
      </c>
      <c r="O4" s="148">
        <v>231</v>
      </c>
      <c r="P4" s="274"/>
      <c r="Q4" s="74"/>
    </row>
    <row r="5" spans="1:253" s="10" customFormat="1" ht="13.5" customHeight="1" thickBot="1" x14ac:dyDescent="0.25">
      <c r="A5" s="442" t="s">
        <v>52</v>
      </c>
      <c r="B5" s="442" t="s">
        <v>20</v>
      </c>
      <c r="C5" s="442" t="s">
        <v>21</v>
      </c>
      <c r="D5" s="443" t="s">
        <v>3</v>
      </c>
      <c r="E5" s="443" t="s">
        <v>53</v>
      </c>
      <c r="F5" s="445" t="s">
        <v>54</v>
      </c>
      <c r="G5" s="445" t="s">
        <v>55</v>
      </c>
      <c r="H5" s="453" t="s">
        <v>56</v>
      </c>
      <c r="I5" s="442" t="s">
        <v>57</v>
      </c>
      <c r="J5" s="454" t="s">
        <v>58</v>
      </c>
      <c r="K5" s="455" t="s">
        <v>59</v>
      </c>
      <c r="L5" s="455"/>
      <c r="M5" s="456" t="s">
        <v>60</v>
      </c>
      <c r="N5" s="447" t="s">
        <v>61</v>
      </c>
      <c r="O5" s="448"/>
      <c r="P5" s="449" t="s">
        <v>175</v>
      </c>
      <c r="Q5" s="449" t="s">
        <v>28</v>
      </c>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row>
    <row r="6" spans="1:253" s="10" customFormat="1" ht="39" thickBot="1" x14ac:dyDescent="0.25">
      <c r="A6" s="442" t="s">
        <v>62</v>
      </c>
      <c r="B6" s="442"/>
      <c r="C6" s="442"/>
      <c r="D6" s="444"/>
      <c r="E6" s="444"/>
      <c r="F6" s="446"/>
      <c r="G6" s="446"/>
      <c r="H6" s="453"/>
      <c r="I6" s="442"/>
      <c r="J6" s="454"/>
      <c r="K6" s="288" t="s">
        <v>63</v>
      </c>
      <c r="L6" s="288" t="s">
        <v>64</v>
      </c>
      <c r="M6" s="456"/>
      <c r="N6" s="259" t="s">
        <v>65</v>
      </c>
      <c r="O6" s="259" t="s">
        <v>66</v>
      </c>
      <c r="P6" s="450"/>
      <c r="Q6" s="450"/>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pans="1:253" s="10" customFormat="1" ht="22.5" customHeight="1" x14ac:dyDescent="0.2">
      <c r="A7" s="146">
        <v>1</v>
      </c>
      <c r="B7" s="229" t="s">
        <v>135</v>
      </c>
      <c r="C7" s="47" t="s">
        <v>136</v>
      </c>
      <c r="D7" s="230">
        <f>+'NOMINA MES'!G6</f>
        <v>43283</v>
      </c>
      <c r="E7" s="146" t="str">
        <f>+'NOMINA MES'!E6</f>
        <v>COND 1°</v>
      </c>
      <c r="F7" s="83"/>
      <c r="G7" s="84">
        <f>DATEDIF($D7,$E$1,"y")</f>
        <v>3</v>
      </c>
      <c r="H7" s="260">
        <f t="shared" ref="H7:H9" si="0">IF(G7&gt;=20,35,IF(AND(G7&gt;=10,G7&lt;20),28,IF(AND(G7&gt;=5,G7&lt;10),21,IF(G7&lt;5,14,0))))</f>
        <v>14</v>
      </c>
      <c r="I7" s="86"/>
      <c r="J7" s="261">
        <f>+H7-I7</f>
        <v>14</v>
      </c>
      <c r="K7" s="87"/>
      <c r="L7" s="87"/>
      <c r="M7" s="87"/>
      <c r="N7" s="262">
        <f>(F7)/24*I7</f>
        <v>0</v>
      </c>
      <c r="O7" s="262">
        <f>764.72*I7</f>
        <v>0</v>
      </c>
      <c r="P7" s="262">
        <f>+N7+O7</f>
        <v>0</v>
      </c>
      <c r="Q7" s="262">
        <f>ROUNDUP(N7+O7-(N7+O7)*0.215,0)</f>
        <v>0</v>
      </c>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row>
    <row r="8" spans="1:253" s="10" customFormat="1" ht="22.5" customHeight="1" x14ac:dyDescent="0.2">
      <c r="A8" s="38">
        <v>2</v>
      </c>
      <c r="B8" s="39" t="s">
        <v>158</v>
      </c>
      <c r="C8" s="40" t="s">
        <v>159</v>
      </c>
      <c r="D8" s="185">
        <v>43511</v>
      </c>
      <c r="E8" s="146" t="str">
        <f>+'NOMINA MES'!E7</f>
        <v>COND 1°</v>
      </c>
      <c r="F8" s="83"/>
      <c r="G8" s="84">
        <f t="shared" ref="G8:G9" si="1">DATEDIF($D8,$E$1,"y")</f>
        <v>2</v>
      </c>
      <c r="H8" s="260">
        <f t="shared" si="0"/>
        <v>14</v>
      </c>
      <c r="I8" s="86"/>
      <c r="J8" s="261">
        <f>+H8-I8</f>
        <v>14</v>
      </c>
      <c r="K8" s="87"/>
      <c r="L8" s="87"/>
      <c r="M8" s="87"/>
      <c r="N8" s="262">
        <f t="shared" ref="N8:N9" si="2">(F8)/24*I8</f>
        <v>0</v>
      </c>
      <c r="O8" s="262">
        <f t="shared" ref="O8:O9" si="3">764.72*I8</f>
        <v>0</v>
      </c>
      <c r="P8" s="262">
        <f t="shared" ref="P8:P9" si="4">+N8+O8</f>
        <v>0</v>
      </c>
      <c r="Q8" s="262">
        <f>ROUNDUP(N8+O8-(N8+O8)*0.215,0)</f>
        <v>0</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s="10" customFormat="1" ht="22.5" customHeight="1" x14ac:dyDescent="0.2">
      <c r="A9" s="146">
        <v>3</v>
      </c>
      <c r="B9" s="229" t="s">
        <v>161</v>
      </c>
      <c r="C9" s="47" t="s">
        <v>162</v>
      </c>
      <c r="D9" s="244">
        <v>43559</v>
      </c>
      <c r="E9" s="146" t="e">
        <f>+'NOMINA MES'!#REF!</f>
        <v>#REF!</v>
      </c>
      <c r="F9" s="83"/>
      <c r="G9" s="84">
        <f t="shared" si="1"/>
        <v>2</v>
      </c>
      <c r="H9" s="260">
        <f t="shared" si="0"/>
        <v>14</v>
      </c>
      <c r="I9" s="86"/>
      <c r="J9" s="261">
        <f>+H9-I9</f>
        <v>14</v>
      </c>
      <c r="K9" s="87"/>
      <c r="L9" s="87"/>
      <c r="M9" s="87"/>
      <c r="N9" s="262">
        <f t="shared" si="2"/>
        <v>0</v>
      </c>
      <c r="O9" s="262">
        <f t="shared" si="3"/>
        <v>0</v>
      </c>
      <c r="P9" s="262">
        <f t="shared" si="4"/>
        <v>0</v>
      </c>
      <c r="Q9" s="262">
        <f>ROUNDUP(N9+O9-(N9+O9)*0.215,0)</f>
        <v>0</v>
      </c>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ht="22.5" customHeight="1" thickBot="1" x14ac:dyDescent="0.25">
      <c r="A10" s="35"/>
      <c r="B10" s="234"/>
      <c r="E10" s="35"/>
      <c r="F10" s="237"/>
      <c r="G10" s="238"/>
      <c r="H10" s="242"/>
      <c r="I10" s="239"/>
      <c r="J10" s="243"/>
      <c r="K10" s="240"/>
      <c r="L10" s="240"/>
      <c r="M10" s="240"/>
      <c r="N10" s="241"/>
      <c r="O10" s="241"/>
      <c r="P10" s="241"/>
      <c r="Q10" s="241"/>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ht="24" thickBot="1" x14ac:dyDescent="0.4">
      <c r="C11" t="s">
        <v>184</v>
      </c>
      <c r="F11" s="196" t="s">
        <v>129</v>
      </c>
      <c r="G11" s="197"/>
      <c r="H11" s="197"/>
      <c r="I11" s="197"/>
      <c r="J11" s="198"/>
      <c r="K11" s="194"/>
      <c r="L11" s="195"/>
    </row>
    <row r="12" spans="1:253" ht="13.5" thickBot="1" x14ac:dyDescent="0.25">
      <c r="C12" s="297" t="s">
        <v>21</v>
      </c>
      <c r="D12" s="297" t="s">
        <v>56</v>
      </c>
    </row>
    <row r="13" spans="1:253" ht="24" thickBot="1" x14ac:dyDescent="0.4">
      <c r="C13" s="249" t="s">
        <v>136</v>
      </c>
      <c r="D13" s="298">
        <f>+J7</f>
        <v>14</v>
      </c>
      <c r="F13" s="196" t="s">
        <v>130</v>
      </c>
      <c r="G13" s="197"/>
      <c r="H13" s="197"/>
      <c r="I13" s="197"/>
      <c r="J13" s="198"/>
      <c r="K13" s="194"/>
      <c r="L13" s="195"/>
      <c r="M13" s="196"/>
      <c r="N13" s="197"/>
      <c r="O13" s="195"/>
      <c r="P13" s="195"/>
      <c r="Q13" s="195"/>
      <c r="R13" s="195"/>
      <c r="S13" s="195"/>
      <c r="T13" s="195"/>
      <c r="U13" s="195"/>
    </row>
    <row r="14" spans="1:253" x14ac:dyDescent="0.2">
      <c r="C14" s="250" t="s">
        <v>159</v>
      </c>
      <c r="D14" s="298">
        <f>+J8</f>
        <v>14</v>
      </c>
    </row>
    <row r="15" spans="1:253" x14ac:dyDescent="0.2">
      <c r="C15" s="250" t="s">
        <v>162</v>
      </c>
      <c r="D15" s="298">
        <f>+J9</f>
        <v>14</v>
      </c>
    </row>
    <row r="17" spans="3:13" x14ac:dyDescent="0.2">
      <c r="C17" t="s">
        <v>185</v>
      </c>
      <c r="G17" s="245"/>
      <c r="J17" s="299"/>
      <c r="K17" s="2"/>
      <c r="L17" s="2"/>
    </row>
    <row r="18" spans="3:13" x14ac:dyDescent="0.2">
      <c r="C18" s="451" t="s">
        <v>21</v>
      </c>
      <c r="D18" s="451" t="s">
        <v>56</v>
      </c>
      <c r="G18" s="245"/>
      <c r="H18" s="275"/>
      <c r="I18" s="275"/>
      <c r="J18" s="7"/>
      <c r="K18" s="7"/>
      <c r="L18" s="7"/>
      <c r="M18" s="49"/>
    </row>
    <row r="19" spans="3:13" x14ac:dyDescent="0.2">
      <c r="C19" s="452"/>
      <c r="D19" s="452"/>
      <c r="G19" s="245"/>
      <c r="H19" s="275"/>
      <c r="I19" s="275"/>
      <c r="J19" s="7"/>
      <c r="K19" s="7"/>
      <c r="L19" s="7"/>
      <c r="M19" s="49"/>
    </row>
    <row r="20" spans="3:13" x14ac:dyDescent="0.2">
      <c r="C20" s="249" t="s">
        <v>136</v>
      </c>
      <c r="D20" s="298">
        <f>+'VAC 2020'!D20</f>
        <v>0</v>
      </c>
      <c r="G20" s="245"/>
      <c r="H20" s="275"/>
      <c r="I20" s="275"/>
      <c r="J20" s="7"/>
      <c r="K20" s="7"/>
      <c r="L20" s="7"/>
      <c r="M20" s="49"/>
    </row>
    <row r="21" spans="3:13" x14ac:dyDescent="0.2">
      <c r="C21" s="250" t="s">
        <v>159</v>
      </c>
      <c r="D21" s="298">
        <f>+'VAC 2020'!D21</f>
        <v>14</v>
      </c>
      <c r="G21" s="245"/>
      <c r="H21" s="275"/>
      <c r="I21" s="275"/>
      <c r="J21" s="7"/>
      <c r="K21" s="7"/>
      <c r="L21" s="7"/>
      <c r="M21" s="49"/>
    </row>
    <row r="22" spans="3:13" x14ac:dyDescent="0.2">
      <c r="C22" s="250" t="s">
        <v>162</v>
      </c>
      <c r="D22" s="298">
        <f>+'VAC 2020'!D22</f>
        <v>14</v>
      </c>
      <c r="G22" s="245"/>
      <c r="H22" s="275"/>
      <c r="I22" s="275"/>
      <c r="J22" s="7"/>
      <c r="K22" s="7"/>
      <c r="L22" s="7"/>
      <c r="M22" s="49"/>
    </row>
    <row r="23" spans="3:13" x14ac:dyDescent="0.2">
      <c r="H23" s="275"/>
      <c r="I23" s="275"/>
      <c r="J23" s="7"/>
      <c r="K23" s="7"/>
      <c r="L23" s="7"/>
      <c r="M23" s="49"/>
    </row>
    <row r="24" spans="3:13" x14ac:dyDescent="0.2">
      <c r="H24" s="49"/>
      <c r="I24" s="49"/>
      <c r="J24" s="300"/>
      <c r="K24" s="300"/>
      <c r="L24" s="300"/>
      <c r="M24" s="49"/>
    </row>
    <row r="25" spans="3:13" x14ac:dyDescent="0.2">
      <c r="H25" s="49"/>
      <c r="I25" s="49"/>
      <c r="J25" s="300"/>
      <c r="K25" s="300"/>
      <c r="L25" s="300"/>
    </row>
    <row r="26" spans="3:13" x14ac:dyDescent="0.2">
      <c r="H26" s="49"/>
      <c r="I26" s="49"/>
      <c r="J26" s="300"/>
      <c r="K26" s="300"/>
      <c r="L26" s="300"/>
    </row>
    <row r="27" spans="3:13" x14ac:dyDescent="0.2">
      <c r="I27" s="49"/>
      <c r="J27" s="300"/>
      <c r="K27" s="300"/>
      <c r="L27" s="300"/>
    </row>
    <row r="28" spans="3:13" x14ac:dyDescent="0.2">
      <c r="G28" s="49"/>
      <c r="I28" s="279"/>
      <c r="J28" s="300"/>
      <c r="K28" s="300"/>
      <c r="L28" s="300"/>
    </row>
    <row r="29" spans="3:13" x14ac:dyDescent="0.2">
      <c r="I29" s="279"/>
      <c r="J29" s="301"/>
      <c r="K29" s="301"/>
      <c r="L29" s="301"/>
    </row>
  </sheetData>
  <mergeCells count="19">
    <mergeCell ref="E1:F1"/>
    <mergeCell ref="A3:C3"/>
    <mergeCell ref="A5:A6"/>
    <mergeCell ref="B5:B6"/>
    <mergeCell ref="C5:C6"/>
    <mergeCell ref="D5:D6"/>
    <mergeCell ref="E5:E6"/>
    <mergeCell ref="F5:F6"/>
    <mergeCell ref="N5:O5"/>
    <mergeCell ref="P5:P6"/>
    <mergeCell ref="Q5:Q6"/>
    <mergeCell ref="C18:C19"/>
    <mergeCell ref="D18:D19"/>
    <mergeCell ref="G5:G6"/>
    <mergeCell ref="H5:H6"/>
    <mergeCell ref="I5:I6"/>
    <mergeCell ref="J5:J6"/>
    <mergeCell ref="K5:L5"/>
    <mergeCell ref="M5:M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S29"/>
  <sheetViews>
    <sheetView topLeftCell="A13" workbookViewId="0">
      <selection activeCell="N7" sqref="N7:O7"/>
    </sheetView>
  </sheetViews>
  <sheetFormatPr baseColWidth="10" defaultRowHeight="12.75" x14ac:dyDescent="0.2"/>
  <cols>
    <col min="1" max="1" width="6.7109375" customWidth="1"/>
    <col min="2" max="2" width="14.5703125" customWidth="1"/>
    <col min="3" max="3" width="27.7109375" customWidth="1"/>
    <col min="4" max="4" width="12.5703125" customWidth="1"/>
    <col min="5" max="5" width="13.85546875" customWidth="1"/>
    <col min="6" max="6" width="10.140625" customWidth="1"/>
    <col min="7" max="7" width="7.42578125" customWidth="1"/>
    <col min="8" max="8" width="12.7109375" customWidth="1"/>
    <col min="9" max="9" width="8.7109375" customWidth="1"/>
    <col min="10" max="10" width="10.140625" customWidth="1"/>
    <col min="11" max="13" width="12.42578125" customWidth="1"/>
    <col min="14" max="14" width="13.42578125" customWidth="1"/>
    <col min="16" max="16" width="12.140625" customWidth="1"/>
    <col min="17" max="17" width="14.85546875" customWidth="1"/>
  </cols>
  <sheetData>
    <row r="1" spans="1:253" ht="24" customHeight="1" x14ac:dyDescent="0.35">
      <c r="A1" s="33" t="str">
        <f>+'NOMINA MES'!A1</f>
        <v>AGR SERVICIOS S.R.L.</v>
      </c>
      <c r="E1" s="437">
        <v>44196</v>
      </c>
      <c r="F1" s="438"/>
      <c r="M1" s="216"/>
      <c r="N1" s="215"/>
      <c r="O1" s="215"/>
      <c r="P1" s="216"/>
      <c r="Q1" s="216"/>
    </row>
    <row r="2" spans="1:253" ht="24" customHeight="1" x14ac:dyDescent="0.2">
      <c r="M2" s="68"/>
      <c r="N2" s="67"/>
      <c r="O2" s="68"/>
      <c r="P2" s="68"/>
      <c r="Q2" s="68"/>
    </row>
    <row r="3" spans="1:253" ht="24" customHeight="1" thickBot="1" x14ac:dyDescent="0.35">
      <c r="A3" s="439" t="s">
        <v>183</v>
      </c>
      <c r="B3" s="440"/>
      <c r="C3" s="441"/>
      <c r="D3" s="121"/>
      <c r="E3" s="121"/>
    </row>
    <row r="4" spans="1:253" ht="15.75" thickBot="1" x14ac:dyDescent="0.3">
      <c r="A4" s="25"/>
      <c r="B4" s="70"/>
      <c r="C4" s="26"/>
      <c r="E4" s="27"/>
      <c r="F4" s="28"/>
      <c r="G4" s="71"/>
      <c r="H4" s="29"/>
      <c r="I4" s="30"/>
      <c r="J4" s="31"/>
      <c r="K4" s="31"/>
      <c r="L4" s="31"/>
      <c r="M4" s="68"/>
      <c r="N4" s="148">
        <v>184</v>
      </c>
      <c r="O4" s="148">
        <v>231</v>
      </c>
      <c r="P4" s="274"/>
      <c r="Q4" s="74"/>
    </row>
    <row r="5" spans="1:253" s="10" customFormat="1" ht="13.5" customHeight="1" thickBot="1" x14ac:dyDescent="0.25">
      <c r="A5" s="442" t="s">
        <v>52</v>
      </c>
      <c r="B5" s="442" t="s">
        <v>20</v>
      </c>
      <c r="C5" s="442" t="s">
        <v>21</v>
      </c>
      <c r="D5" s="443" t="s">
        <v>3</v>
      </c>
      <c r="E5" s="443" t="s">
        <v>53</v>
      </c>
      <c r="F5" s="445" t="s">
        <v>54</v>
      </c>
      <c r="G5" s="445" t="s">
        <v>55</v>
      </c>
      <c r="H5" s="453" t="s">
        <v>56</v>
      </c>
      <c r="I5" s="442" t="s">
        <v>57</v>
      </c>
      <c r="J5" s="454" t="s">
        <v>58</v>
      </c>
      <c r="K5" s="455" t="s">
        <v>59</v>
      </c>
      <c r="L5" s="455"/>
      <c r="M5" s="456" t="s">
        <v>60</v>
      </c>
      <c r="N5" s="447" t="s">
        <v>61</v>
      </c>
      <c r="O5" s="448"/>
      <c r="P5" s="449" t="s">
        <v>175</v>
      </c>
      <c r="Q5" s="449" t="s">
        <v>28</v>
      </c>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row>
    <row r="6" spans="1:253" s="10" customFormat="1" ht="39" thickBot="1" x14ac:dyDescent="0.25">
      <c r="A6" s="442" t="s">
        <v>62</v>
      </c>
      <c r="B6" s="442"/>
      <c r="C6" s="442"/>
      <c r="D6" s="444"/>
      <c r="E6" s="444"/>
      <c r="F6" s="446"/>
      <c r="G6" s="446"/>
      <c r="H6" s="453"/>
      <c r="I6" s="442"/>
      <c r="J6" s="454"/>
      <c r="K6" s="288" t="s">
        <v>63</v>
      </c>
      <c r="L6" s="288" t="s">
        <v>64</v>
      </c>
      <c r="M6" s="456"/>
      <c r="N6" s="259" t="s">
        <v>65</v>
      </c>
      <c r="O6" s="259" t="s">
        <v>66</v>
      </c>
      <c r="P6" s="450"/>
      <c r="Q6" s="450"/>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row>
    <row r="7" spans="1:253" s="10" customFormat="1" ht="22.5" customHeight="1" x14ac:dyDescent="0.2">
      <c r="A7" s="146">
        <v>1</v>
      </c>
      <c r="B7" s="229" t="s">
        <v>135</v>
      </c>
      <c r="C7" s="47" t="s">
        <v>136</v>
      </c>
      <c r="D7" s="230">
        <f>+'NOMINA MES'!G6</f>
        <v>43283</v>
      </c>
      <c r="E7" s="146" t="str">
        <f>+'NOMINA MES'!E6</f>
        <v>COND 1°</v>
      </c>
      <c r="F7" s="83">
        <v>454909.02</v>
      </c>
      <c r="G7" s="84">
        <f>DATEDIF($D7,$E$1,"y")</f>
        <v>2</v>
      </c>
      <c r="H7" s="260">
        <f t="shared" ref="H7:H9" si="0">IF(G7&gt;=20,35,IF(AND(G7&gt;=10,G7&lt;20),28,IF(AND(G7&gt;=5,G7&lt;10),21,IF(G7&lt;5,14,0))))</f>
        <v>14</v>
      </c>
      <c r="I7" s="86">
        <v>14</v>
      </c>
      <c r="J7" s="261">
        <f>+H7-I7</f>
        <v>0</v>
      </c>
      <c r="K7" s="87">
        <v>45327</v>
      </c>
      <c r="L7" s="87">
        <v>45333</v>
      </c>
      <c r="M7" s="87">
        <v>45334</v>
      </c>
      <c r="N7" s="262">
        <f>(F7)/24*I7</f>
        <v>265363.59499999997</v>
      </c>
      <c r="O7" s="262">
        <f>5589.77*I7</f>
        <v>78256.78</v>
      </c>
      <c r="P7" s="262">
        <f>+N7+O7</f>
        <v>343620.375</v>
      </c>
      <c r="Q7" s="262">
        <f>ROUNDUP(N7+O7-(N7+O7)*0.215,0)</f>
        <v>269742</v>
      </c>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row>
    <row r="8" spans="1:253" s="10" customFormat="1" ht="22.5" customHeight="1" x14ac:dyDescent="0.2">
      <c r="A8" s="38">
        <v>2</v>
      </c>
      <c r="B8" s="39" t="s">
        <v>158</v>
      </c>
      <c r="C8" s="40" t="s">
        <v>159</v>
      </c>
      <c r="D8" s="185">
        <v>43511</v>
      </c>
      <c r="E8" s="146" t="str">
        <f>+'NOMINA MES'!E7</f>
        <v>COND 1°</v>
      </c>
      <c r="F8" s="83"/>
      <c r="G8" s="84">
        <f t="shared" ref="G8:G9" si="1">DATEDIF($D8,$E$1,"y")</f>
        <v>1</v>
      </c>
      <c r="H8" s="260">
        <f t="shared" si="0"/>
        <v>14</v>
      </c>
      <c r="I8" s="86"/>
      <c r="J8" s="261">
        <f>+H8-I8</f>
        <v>14</v>
      </c>
      <c r="K8" s="87"/>
      <c r="L8" s="87"/>
      <c r="M8" s="87"/>
      <c r="N8" s="262">
        <f t="shared" ref="N8:N9" si="2">(F8)/24*I8</f>
        <v>0</v>
      </c>
      <c r="O8" s="262">
        <f t="shared" ref="O8:O9" si="3">764.72*I8</f>
        <v>0</v>
      </c>
      <c r="P8" s="262">
        <f t="shared" ref="P8:P9" si="4">+N8+O8</f>
        <v>0</v>
      </c>
      <c r="Q8" s="262">
        <f>ROUNDUP(N8+O8-(N8+O8)*0.215,0)</f>
        <v>0</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s="10" customFormat="1" ht="22.5" customHeight="1" x14ac:dyDescent="0.2">
      <c r="A9" s="146">
        <v>3</v>
      </c>
      <c r="B9" s="229" t="s">
        <v>161</v>
      </c>
      <c r="C9" s="47" t="s">
        <v>162</v>
      </c>
      <c r="D9" s="244">
        <v>43559</v>
      </c>
      <c r="E9" s="146" t="e">
        <f>+'NOMINA MES'!#REF!</f>
        <v>#REF!</v>
      </c>
      <c r="F9" s="83"/>
      <c r="G9" s="84">
        <f t="shared" si="1"/>
        <v>1</v>
      </c>
      <c r="H9" s="260">
        <f t="shared" si="0"/>
        <v>14</v>
      </c>
      <c r="I9" s="86"/>
      <c r="J9" s="261">
        <f>+H9-I9</f>
        <v>14</v>
      </c>
      <c r="K9" s="87"/>
      <c r="L9" s="87"/>
      <c r="M9" s="87"/>
      <c r="N9" s="262">
        <f t="shared" si="2"/>
        <v>0</v>
      </c>
      <c r="O9" s="262">
        <f t="shared" si="3"/>
        <v>0</v>
      </c>
      <c r="P9" s="262">
        <f t="shared" si="4"/>
        <v>0</v>
      </c>
      <c r="Q9" s="262">
        <f>ROUNDUP(N9+O9-(N9+O9)*0.215,0)</f>
        <v>0</v>
      </c>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ht="22.5" customHeight="1" thickBot="1" x14ac:dyDescent="0.25">
      <c r="A10" s="35"/>
      <c r="B10" s="234"/>
      <c r="C10" s="235"/>
      <c r="D10" s="236"/>
      <c r="E10" s="35"/>
      <c r="F10" s="237"/>
      <c r="G10" s="238"/>
      <c r="H10" s="242"/>
      <c r="I10" s="239"/>
      <c r="J10" s="243"/>
      <c r="K10" s="240"/>
      <c r="L10" s="240"/>
      <c r="M10" s="240"/>
      <c r="N10" s="241"/>
      <c r="O10" s="241"/>
      <c r="P10" s="241"/>
      <c r="Q10" s="241"/>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ht="24" thickBot="1" x14ac:dyDescent="0.4">
      <c r="F11" s="196" t="s">
        <v>129</v>
      </c>
      <c r="G11" s="197"/>
      <c r="H11" s="197"/>
      <c r="I11" s="197"/>
      <c r="J11" s="198"/>
      <c r="K11" s="194"/>
      <c r="L11" s="195"/>
    </row>
    <row r="12" spans="1:253" ht="13.5" thickBot="1" x14ac:dyDescent="0.25"/>
    <row r="13" spans="1:253" ht="24" thickBot="1" x14ac:dyDescent="0.4">
      <c r="F13" s="196" t="s">
        <v>130</v>
      </c>
      <c r="G13" s="197"/>
      <c r="H13" s="197"/>
      <c r="I13" s="197"/>
      <c r="J13" s="198"/>
      <c r="K13" s="194"/>
      <c r="L13" s="195"/>
      <c r="M13" s="196"/>
      <c r="N13" s="197"/>
      <c r="O13" s="195"/>
      <c r="P13" s="195"/>
      <c r="Q13" s="195"/>
      <c r="R13" s="195"/>
      <c r="S13" s="195"/>
      <c r="T13" s="195"/>
      <c r="U13" s="195"/>
    </row>
    <row r="17" spans="3:13" x14ac:dyDescent="0.2">
      <c r="C17" t="s">
        <v>185</v>
      </c>
      <c r="G17" s="245"/>
      <c r="J17" s="281" t="s">
        <v>176</v>
      </c>
      <c r="K17" s="282" t="s">
        <v>177</v>
      </c>
      <c r="L17" s="282" t="s">
        <v>178</v>
      </c>
    </row>
    <row r="18" spans="3:13" x14ac:dyDescent="0.2">
      <c r="C18" s="451" t="s">
        <v>21</v>
      </c>
      <c r="D18" s="451" t="s">
        <v>56</v>
      </c>
      <c r="G18" s="245"/>
      <c r="H18" s="275"/>
      <c r="I18" s="275">
        <v>43891</v>
      </c>
      <c r="J18" s="7">
        <v>21046.175799999997</v>
      </c>
      <c r="K18" s="7">
        <v>21339.438999999998</v>
      </c>
      <c r="L18" s="7">
        <v>21241.684600000001</v>
      </c>
      <c r="M18" s="49"/>
    </row>
    <row r="19" spans="3:13" x14ac:dyDescent="0.2">
      <c r="C19" s="452"/>
      <c r="D19" s="452"/>
      <c r="G19" s="245"/>
      <c r="H19" s="275"/>
      <c r="I19" s="275">
        <v>43862</v>
      </c>
      <c r="J19" s="7">
        <v>20086.161800000002</v>
      </c>
      <c r="K19" s="7">
        <v>20526.056599999996</v>
      </c>
      <c r="L19" s="7">
        <v>20452.7408</v>
      </c>
      <c r="M19" s="49"/>
    </row>
    <row r="20" spans="3:13" x14ac:dyDescent="0.2">
      <c r="C20" s="249" t="s">
        <v>136</v>
      </c>
      <c r="D20" s="298">
        <f>+J7</f>
        <v>0</v>
      </c>
      <c r="G20" s="245"/>
      <c r="H20" s="275"/>
      <c r="I20" s="275">
        <v>43831</v>
      </c>
      <c r="J20" s="7">
        <v>18987.763999999999</v>
      </c>
      <c r="K20" s="7">
        <v>16973.806</v>
      </c>
      <c r="L20" s="7">
        <v>19138.599999999999</v>
      </c>
      <c r="M20" s="49"/>
    </row>
    <row r="21" spans="3:13" x14ac:dyDescent="0.2">
      <c r="C21" s="250" t="s">
        <v>159</v>
      </c>
      <c r="D21" s="298">
        <f t="shared" ref="D21:D22" si="5">+J8</f>
        <v>14</v>
      </c>
      <c r="G21" s="245"/>
      <c r="H21" s="275"/>
      <c r="I21" s="275">
        <v>43800</v>
      </c>
      <c r="J21" s="7">
        <v>16973.806</v>
      </c>
      <c r="K21" s="7">
        <v>16822.969999999998</v>
      </c>
      <c r="L21" s="7">
        <v>16973.806</v>
      </c>
      <c r="M21" s="49"/>
    </row>
    <row r="22" spans="3:13" x14ac:dyDescent="0.2">
      <c r="C22" s="250" t="s">
        <v>162</v>
      </c>
      <c r="D22" s="298">
        <f t="shared" si="5"/>
        <v>14</v>
      </c>
      <c r="G22" s="245"/>
      <c r="H22" s="275"/>
      <c r="I22" s="275">
        <v>43770</v>
      </c>
      <c r="J22" s="7">
        <v>16973.806</v>
      </c>
      <c r="K22" s="7">
        <v>18987.763999999999</v>
      </c>
      <c r="L22" s="7">
        <v>19138.599999999999</v>
      </c>
      <c r="M22" s="49"/>
    </row>
    <row r="23" spans="3:13" x14ac:dyDescent="0.2">
      <c r="H23" s="275"/>
      <c r="I23" s="275">
        <v>43739</v>
      </c>
      <c r="J23" s="283">
        <v>18987.763999999999</v>
      </c>
      <c r="K23" s="283">
        <v>16822.969999999998</v>
      </c>
      <c r="L23" s="283">
        <v>16973.806</v>
      </c>
      <c r="M23" s="49"/>
    </row>
    <row r="24" spans="3:13" x14ac:dyDescent="0.2">
      <c r="H24" s="49"/>
      <c r="I24" s="49" t="s">
        <v>18</v>
      </c>
      <c r="J24" s="276">
        <f>SUM(J18:J23)</f>
        <v>113055.47759999998</v>
      </c>
      <c r="K24" s="276">
        <f t="shared" ref="K24:L24" si="6">SUM(K18:K23)</f>
        <v>111473.00559999999</v>
      </c>
      <c r="L24" s="276">
        <f t="shared" si="6"/>
        <v>113919.2374</v>
      </c>
      <c r="M24" s="49"/>
    </row>
    <row r="25" spans="3:13" x14ac:dyDescent="0.2">
      <c r="H25" s="49"/>
      <c r="I25" s="49" t="s">
        <v>179</v>
      </c>
      <c r="J25" s="277">
        <f>+J24/6</f>
        <v>18842.579599999997</v>
      </c>
      <c r="K25" s="277">
        <f t="shared" ref="K25:L25" si="7">+K24/6</f>
        <v>18578.834266666665</v>
      </c>
      <c r="L25" s="277">
        <f t="shared" si="7"/>
        <v>18986.539566666666</v>
      </c>
    </row>
    <row r="26" spans="3:13" x14ac:dyDescent="0.2">
      <c r="H26" s="49"/>
      <c r="I26" s="49" t="s">
        <v>180</v>
      </c>
      <c r="J26" s="284">
        <v>32737.55</v>
      </c>
      <c r="K26" s="284">
        <v>32737.55</v>
      </c>
      <c r="L26" s="284">
        <v>32737.55</v>
      </c>
    </row>
    <row r="27" spans="3:13" ht="13.5" thickBot="1" x14ac:dyDescent="0.25">
      <c r="I27" s="49" t="s">
        <v>30</v>
      </c>
      <c r="J27" s="280">
        <f>+(J26+J25)*0.01*'NOMINA MES'!H6</f>
        <v>3094.8077759999996</v>
      </c>
      <c r="K27" s="280">
        <f>+(K26+K25)*0.01*'NOMINA MES'!H7</f>
        <v>2565.8192133333332</v>
      </c>
      <c r="L27" s="280" t="e">
        <f>+(L26+L25)*0.01*'NOMINA MES'!#REF!</f>
        <v>#REF!</v>
      </c>
    </row>
    <row r="28" spans="3:13" ht="13.5" thickTop="1" x14ac:dyDescent="0.2">
      <c r="G28" s="49" t="s">
        <v>160</v>
      </c>
      <c r="I28" s="279"/>
      <c r="J28" s="278">
        <f>+J25+J26+J27</f>
        <v>54674.937376000002</v>
      </c>
      <c r="K28" s="278">
        <f>+K25+K26+K27</f>
        <v>53882.203479999996</v>
      </c>
      <c r="L28" s="278" t="e">
        <f>+L25+L26+L27</f>
        <v>#REF!</v>
      </c>
    </row>
    <row r="29" spans="3:13" x14ac:dyDescent="0.2">
      <c r="I29" s="279"/>
      <c r="J29" s="279"/>
      <c r="K29" s="279"/>
      <c r="L29" s="279"/>
    </row>
  </sheetData>
  <mergeCells count="19">
    <mergeCell ref="N5:O5"/>
    <mergeCell ref="P5:P6"/>
    <mergeCell ref="Q5:Q6"/>
    <mergeCell ref="C18:C19"/>
    <mergeCell ref="D18:D19"/>
    <mergeCell ref="G5:G6"/>
    <mergeCell ref="H5:H6"/>
    <mergeCell ref="I5:I6"/>
    <mergeCell ref="J5:J6"/>
    <mergeCell ref="K5:L5"/>
    <mergeCell ref="M5:M6"/>
    <mergeCell ref="E1:F1"/>
    <mergeCell ref="A3:C3"/>
    <mergeCell ref="A5:A6"/>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NOMINA MES</vt:lpstr>
      <vt:lpstr>UOCRA</vt:lpstr>
      <vt:lpstr>CARGAS SOCIALES</vt:lpstr>
      <vt:lpstr>1° SAC</vt:lpstr>
      <vt:lpstr>2º SAC</vt:lpstr>
      <vt:lpstr>VAC 2013</vt:lpstr>
      <vt:lpstr>VAC 2024</vt:lpstr>
      <vt:lpstr>VAC 2023</vt:lpstr>
      <vt:lpstr>VAC 2022</vt:lpstr>
      <vt:lpstr>VAC 2021</vt:lpstr>
      <vt:lpstr>VAC 2020</vt:lpstr>
      <vt:lpstr>'2º SAC'!Área_de_impresión</vt:lpstr>
      <vt:lpstr>'CARGAS SOCIALES'!Área_de_impresión</vt:lpstr>
      <vt:lpstr>'NOMINA MES'!Área_de_impresión</vt:lpstr>
      <vt:lpstr>'VAC 2013'!Área_de_impresión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laboral</dc:creator>
  <cp:lastModifiedBy>Luffi</cp:lastModifiedBy>
  <cp:lastPrinted>2024-11-07T13:07:31Z</cp:lastPrinted>
  <dcterms:created xsi:type="dcterms:W3CDTF">2014-04-07T17:45:19Z</dcterms:created>
  <dcterms:modified xsi:type="dcterms:W3CDTF">2024-11-28T12:57:10Z</dcterms:modified>
</cp:coreProperties>
</file>