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805" windowWidth="10005" windowHeight="4305" tabRatio="750" activeTab="6"/>
  </bookViews>
  <sheets>
    <sheet name="NETOS" sheetId="35" r:id="rId1"/>
    <sheet name="NOMINA MES" sheetId="1" r:id="rId2"/>
    <sheet name="1º QUINCENA" sheetId="2" r:id="rId3"/>
    <sheet name="2º QUINCENA" sheetId="3" r:id="rId4"/>
    <sheet name="CARGAS SOCIALES" sheetId="25" r:id="rId5"/>
    <sheet name="VAC PEND" sheetId="40" r:id="rId6"/>
    <sheet name="VAC 2022" sheetId="41" r:id="rId7"/>
    <sheet name="1º SAC" sheetId="6" r:id="rId8"/>
    <sheet name="1º SAC (2)" sheetId="37" r:id="rId9"/>
    <sheet name="2º SAC" sheetId="42" r:id="rId10"/>
    <sheet name="SINDICATO" sheetId="36" r:id="rId11"/>
    <sheet name="Hoja3" sheetId="38" r:id="rId12"/>
    <sheet name="Hoja1" sheetId="39" r:id="rId13"/>
  </sheets>
  <externalReferences>
    <externalReference r:id="rId14"/>
  </externalReferences>
  <definedNames>
    <definedName name="_xlnm._FilterDatabase" localSheetId="2" hidden="1">'1º QUINCENA'!$A$8:$AR$31</definedName>
    <definedName name="_xlnm._FilterDatabase" localSheetId="7" hidden="1">'1º SAC'!$A$4:$W$26</definedName>
    <definedName name="_xlnm._FilterDatabase" localSheetId="8" hidden="1">'1º SAC (2)'!$A$4:$AA$26</definedName>
    <definedName name="_xlnm._FilterDatabase" localSheetId="3" hidden="1">'2º QUINCENA'!$A$8:$AQ$29</definedName>
    <definedName name="_xlnm._FilterDatabase" localSheetId="9" hidden="1">'2º SAC'!$A$4:$Z$27</definedName>
    <definedName name="_xlnm._FilterDatabase" localSheetId="4" hidden="1">'CARGAS SOCIALES'!$A$4:$BF$34</definedName>
    <definedName name="_xlnm._FilterDatabase" localSheetId="6" hidden="1">'VAC 2022'!$A$6:$U$31</definedName>
    <definedName name="_xlnm.Print_Area" localSheetId="1">'NOMINA MES'!#REF!</definedName>
    <definedName name="_xlnm.Print_Area" localSheetId="10">SINDICATO!$A$1:$H$21</definedName>
  </definedNames>
  <calcPr calcId="144525"/>
</workbook>
</file>

<file path=xl/calcChain.xml><?xml version="1.0" encoding="utf-8"?>
<calcChain xmlns="http://schemas.openxmlformats.org/spreadsheetml/2006/main">
  <c r="O27" i="41" l="1"/>
  <c r="R7" i="41"/>
  <c r="S7" i="41"/>
  <c r="S27" i="41"/>
  <c r="S23" i="41"/>
  <c r="S22" i="41"/>
  <c r="S21" i="41"/>
  <c r="S20" i="41"/>
  <c r="S19" i="41"/>
  <c r="S17" i="41"/>
  <c r="S16" i="41"/>
  <c r="S15" i="41"/>
  <c r="S14" i="41"/>
  <c r="S12" i="41"/>
  <c r="S11" i="41"/>
  <c r="S10" i="41"/>
  <c r="S9" i="41"/>
  <c r="S24" i="41"/>
  <c r="S18" i="41"/>
  <c r="S13" i="41"/>
  <c r="S8" i="41"/>
  <c r="O7" i="41"/>
  <c r="Q7" i="41" s="1"/>
  <c r="O23" i="41"/>
  <c r="O22" i="41"/>
  <c r="O21" i="41"/>
  <c r="O20" i="41"/>
  <c r="O19" i="41"/>
  <c r="O17" i="41"/>
  <c r="O16" i="41"/>
  <c r="O15" i="41"/>
  <c r="O14" i="41"/>
  <c r="O12" i="41"/>
  <c r="O11" i="41"/>
  <c r="O10" i="41"/>
  <c r="O9" i="41"/>
  <c r="O24" i="41"/>
  <c r="O18" i="41"/>
  <c r="O13" i="41"/>
  <c r="M8" i="41"/>
  <c r="O8" i="41" s="1"/>
  <c r="O3" i="41" l="1"/>
  <c r="O4" i="41" s="1"/>
  <c r="P3" i="41"/>
  <c r="M4" i="41"/>
  <c r="L3" i="41"/>
  <c r="S6" i="1"/>
  <c r="Q2" i="35"/>
  <c r="P2" i="35"/>
  <c r="O2" i="35"/>
  <c r="N2" i="35"/>
  <c r="L2" i="35"/>
  <c r="R31" i="41"/>
  <c r="R30" i="41"/>
  <c r="R29" i="41"/>
  <c r="R28" i="41"/>
  <c r="Q27" i="41"/>
  <c r="R27" i="41" s="1"/>
  <c r="AN18" i="2"/>
  <c r="AN19" i="2"/>
  <c r="G30" i="41"/>
  <c r="G29" i="41"/>
  <c r="J30" i="41"/>
  <c r="J29" i="41"/>
  <c r="G28" i="41"/>
  <c r="J28" i="41" s="1"/>
  <c r="E28" i="41"/>
  <c r="E29" i="41"/>
  <c r="E30" i="41"/>
  <c r="F28" i="41"/>
  <c r="F29" i="41"/>
  <c r="F30" i="41"/>
  <c r="F2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7" i="41"/>
  <c r="Q8" i="41" l="1"/>
  <c r="R8" i="41" s="1"/>
  <c r="Q23" i="41"/>
  <c r="R23" i="41" s="1"/>
  <c r="Q21" i="41"/>
  <c r="R21" i="41" s="1"/>
  <c r="Q19" i="41"/>
  <c r="R19" i="41" s="1"/>
  <c r="Q17" i="41"/>
  <c r="R17" i="41" s="1"/>
  <c r="Q15" i="41"/>
  <c r="R15" i="41" s="1"/>
  <c r="Q13" i="41"/>
  <c r="R13" i="41" s="1"/>
  <c r="Q11" i="41"/>
  <c r="R11" i="41" s="1"/>
  <c r="Q9" i="41"/>
  <c r="R9" i="41" s="1"/>
  <c r="Q24" i="41"/>
  <c r="R24" i="41" s="1"/>
  <c r="Q22" i="41"/>
  <c r="R22" i="41" s="1"/>
  <c r="Q20" i="41"/>
  <c r="R20" i="41" s="1"/>
  <c r="Q18" i="41"/>
  <c r="R18" i="41" s="1"/>
  <c r="Q16" i="41"/>
  <c r="R16" i="41" s="1"/>
  <c r="Q14" i="41"/>
  <c r="R14" i="41" s="1"/>
  <c r="Q12" i="41"/>
  <c r="R12" i="41" s="1"/>
  <c r="Q10" i="41"/>
  <c r="R10" i="41" s="1"/>
  <c r="U14" i="3"/>
  <c r="V25" i="2"/>
  <c r="V14" i="2"/>
  <c r="O7" i="35"/>
  <c r="O6" i="35"/>
  <c r="L6" i="35"/>
  <c r="N6" i="35"/>
  <c r="N7" i="35"/>
  <c r="L7" i="35"/>
  <c r="Z28" i="2"/>
  <c r="Z27" i="2"/>
  <c r="Z26" i="2"/>
  <c r="Z25" i="2"/>
  <c r="Z24" i="2"/>
  <c r="Z23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AC9" i="2"/>
  <c r="AD9" i="2"/>
  <c r="R9" i="2"/>
  <c r="AA10" i="2"/>
  <c r="N2" i="2"/>
  <c r="M2" i="2"/>
  <c r="T27" i="42" l="1"/>
  <c r="P23" i="42" l="1"/>
  <c r="P24" i="42"/>
  <c r="P25" i="42"/>
  <c r="P26" i="42"/>
  <c r="M11" i="42" l="1"/>
  <c r="M10" i="42"/>
  <c r="M6" i="42"/>
  <c r="M5" i="42"/>
  <c r="M22" i="42"/>
  <c r="M16" i="42"/>
  <c r="M17" i="42"/>
  <c r="M15" i="42"/>
  <c r="M8" i="42"/>
  <c r="M7" i="42"/>
  <c r="M20" i="42"/>
  <c r="M12" i="42"/>
  <c r="M14" i="42"/>
  <c r="M24" i="42"/>
  <c r="M23" i="42"/>
  <c r="M21" i="42"/>
  <c r="M13" i="42"/>
  <c r="M19" i="42"/>
  <c r="M18" i="42"/>
  <c r="M9" i="42"/>
  <c r="J27" i="42" l="1"/>
  <c r="I27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5" i="42"/>
  <c r="K27" i="42" l="1"/>
  <c r="G27" i="42" l="1"/>
  <c r="F27" i="42"/>
  <c r="H22" i="42"/>
  <c r="P22" i="42" s="1"/>
  <c r="H21" i="42"/>
  <c r="P21" i="42" s="1"/>
  <c r="H20" i="42"/>
  <c r="P20" i="42" s="1"/>
  <c r="H19" i="42"/>
  <c r="P19" i="42" s="1"/>
  <c r="H18" i="42"/>
  <c r="P18" i="42" s="1"/>
  <c r="H17" i="42"/>
  <c r="P17" i="42" s="1"/>
  <c r="H16" i="42"/>
  <c r="P16" i="42" s="1"/>
  <c r="H15" i="42"/>
  <c r="P15" i="42" s="1"/>
  <c r="H14" i="42"/>
  <c r="P14" i="42" s="1"/>
  <c r="H13" i="42"/>
  <c r="P13" i="42" s="1"/>
  <c r="H12" i="42"/>
  <c r="P12" i="42" s="1"/>
  <c r="H11" i="42"/>
  <c r="P11" i="42" s="1"/>
  <c r="H10" i="42"/>
  <c r="P10" i="42" s="1"/>
  <c r="H9" i="42"/>
  <c r="P9" i="42" s="1"/>
  <c r="H8" i="42"/>
  <c r="P8" i="42" s="1"/>
  <c r="H7" i="42"/>
  <c r="P7" i="42" s="1"/>
  <c r="H6" i="42"/>
  <c r="P6" i="42" s="1"/>
  <c r="H5" i="42"/>
  <c r="P5" i="42" s="1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Q23" i="42" s="1"/>
  <c r="S23" i="42" s="1"/>
  <c r="E24" i="42"/>
  <c r="E25" i="42"/>
  <c r="E26" i="42"/>
  <c r="E5" i="42"/>
  <c r="N27" i="42"/>
  <c r="M27" i="42"/>
  <c r="L27" i="42"/>
  <c r="A5" i="42"/>
  <c r="A6" i="42" s="1"/>
  <c r="A7" i="42" s="1"/>
  <c r="A8" i="42" s="1"/>
  <c r="A4" i="42"/>
  <c r="A1" i="42"/>
  <c r="Q26" i="42" l="1"/>
  <c r="X26" i="42" s="1"/>
  <c r="W26" i="42"/>
  <c r="Q24" i="42"/>
  <c r="W24" i="42"/>
  <c r="Q25" i="42"/>
  <c r="W25" i="42"/>
  <c r="S26" i="42"/>
  <c r="T26" i="42" s="1"/>
  <c r="Q6" i="42"/>
  <c r="Q8" i="42"/>
  <c r="Q10" i="42"/>
  <c r="S10" i="42" s="1"/>
  <c r="Q12" i="42"/>
  <c r="S12" i="42" s="1"/>
  <c r="Q14" i="42"/>
  <c r="Q16" i="42"/>
  <c r="X16" i="42" s="1"/>
  <c r="Q18" i="42"/>
  <c r="S18" i="42" s="1"/>
  <c r="Q20" i="42"/>
  <c r="S20" i="42" s="1"/>
  <c r="Q22" i="42"/>
  <c r="Q5" i="42"/>
  <c r="S5" i="42" s="1"/>
  <c r="Q7" i="42"/>
  <c r="S7" i="42" s="1"/>
  <c r="Q9" i="42"/>
  <c r="S9" i="42" s="1"/>
  <c r="Q11" i="42"/>
  <c r="S11" i="42" s="1"/>
  <c r="Q13" i="42"/>
  <c r="S13" i="42" s="1"/>
  <c r="Q15" i="42"/>
  <c r="S15" i="42" s="1"/>
  <c r="Q17" i="42"/>
  <c r="S17" i="42" s="1"/>
  <c r="Q19" i="42"/>
  <c r="S19" i="42" s="1"/>
  <c r="Q21" i="42"/>
  <c r="S21" i="42" s="1"/>
  <c r="H27" i="42"/>
  <c r="W12" i="42"/>
  <c r="W18" i="42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W7" i="42"/>
  <c r="W10" i="42"/>
  <c r="W16" i="42"/>
  <c r="W20" i="42"/>
  <c r="W6" i="42"/>
  <c r="S22" i="42"/>
  <c r="T22" i="42" s="1"/>
  <c r="W23" i="42"/>
  <c r="X8" i="42"/>
  <c r="W14" i="42"/>
  <c r="X15" i="42"/>
  <c r="T20" i="42"/>
  <c r="W22" i="42"/>
  <c r="S6" i="42"/>
  <c r="P27" i="42"/>
  <c r="X6" i="42"/>
  <c r="W9" i="42"/>
  <c r="X12" i="42"/>
  <c r="W13" i="42"/>
  <c r="W17" i="42"/>
  <c r="W21" i="42"/>
  <c r="O27" i="42"/>
  <c r="W5" i="42"/>
  <c r="X7" i="42"/>
  <c r="W8" i="42"/>
  <c r="W11" i="42"/>
  <c r="W15" i="42"/>
  <c r="T15" i="42"/>
  <c r="W19" i="42"/>
  <c r="T12" i="42" l="1"/>
  <c r="S14" i="42"/>
  <c r="T14" i="42" s="1"/>
  <c r="S25" i="42"/>
  <c r="T25" i="42" s="1"/>
  <c r="X25" i="42"/>
  <c r="Y25" i="42" s="1"/>
  <c r="S24" i="42"/>
  <c r="X24" i="42"/>
  <c r="T13" i="42"/>
  <c r="S8" i="42"/>
  <c r="T8" i="42" s="1"/>
  <c r="T24" i="42"/>
  <c r="Y24" i="42"/>
  <c r="Y26" i="42"/>
  <c r="T17" i="42"/>
  <c r="Y12" i="42"/>
  <c r="T19" i="42"/>
  <c r="T11" i="42"/>
  <c r="X11" i="42"/>
  <c r="Y11" i="42" s="1"/>
  <c r="X19" i="42"/>
  <c r="Y16" i="42"/>
  <c r="T21" i="42"/>
  <c r="T9" i="42"/>
  <c r="X5" i="42"/>
  <c r="Y5" i="42" s="1"/>
  <c r="T18" i="42"/>
  <c r="S16" i="42"/>
  <c r="T16" i="42" s="1"/>
  <c r="X20" i="42"/>
  <c r="Y20" i="42" s="1"/>
  <c r="X10" i="42"/>
  <c r="Y10" i="42" s="1"/>
  <c r="Y7" i="42"/>
  <c r="Y6" i="42"/>
  <c r="X22" i="42"/>
  <c r="Y22" i="42" s="1"/>
  <c r="Y19" i="42"/>
  <c r="X17" i="42"/>
  <c r="Y17" i="42" s="1"/>
  <c r="Y15" i="42"/>
  <c r="X14" i="42"/>
  <c r="Y14" i="42" s="1"/>
  <c r="Y8" i="42"/>
  <c r="Q27" i="42"/>
  <c r="X18" i="42"/>
  <c r="Y18" i="42" s="1"/>
  <c r="T10" i="42"/>
  <c r="X9" i="42"/>
  <c r="Y9" i="42" s="1"/>
  <c r="T7" i="42"/>
  <c r="T6" i="42"/>
  <c r="X23" i="42"/>
  <c r="Y23" i="42" s="1"/>
  <c r="T23" i="42"/>
  <c r="X21" i="42"/>
  <c r="Y21" i="42" s="1"/>
  <c r="X13" i="42"/>
  <c r="Y13" i="42" s="1"/>
  <c r="R27" i="42"/>
  <c r="T5" i="42"/>
  <c r="S27" i="42" l="1"/>
  <c r="BB27" i="25" l="1"/>
  <c r="AL7" i="1" l="1"/>
  <c r="AJ7" i="1"/>
  <c r="AK11" i="1"/>
  <c r="R7" i="1" l="1"/>
  <c r="M2" i="35"/>
  <c r="K2" i="35"/>
  <c r="J2" i="35"/>
  <c r="H2" i="35"/>
  <c r="J7" i="35" l="1"/>
  <c r="J6" i="35"/>
  <c r="J28" i="3"/>
  <c r="W19" i="3"/>
  <c r="W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 l="1"/>
  <c r="J9" i="3"/>
  <c r="AM27" i="25" l="1"/>
  <c r="AS27" i="25"/>
  <c r="E26" i="25"/>
  <c r="AH8" i="1"/>
  <c r="AJ8" i="1"/>
  <c r="U8" i="1"/>
  <c r="V8" i="1"/>
  <c r="W8" i="1"/>
  <c r="Y8" i="1"/>
  <c r="Z8" i="1"/>
  <c r="AA8" i="1"/>
  <c r="AA7" i="1"/>
  <c r="O7" i="1"/>
  <c r="AZ26" i="25" l="1"/>
  <c r="N26" i="25"/>
  <c r="Q7" i="1"/>
  <c r="X7" i="1" l="1"/>
  <c r="P26" i="25" s="1"/>
  <c r="Z22" i="2"/>
  <c r="AZ25" i="25"/>
  <c r="AM25" i="25"/>
  <c r="R25" i="25"/>
  <c r="N25" i="25"/>
  <c r="E25" i="25"/>
  <c r="Z28" i="3"/>
  <c r="K29" i="3"/>
  <c r="L29" i="3"/>
  <c r="M29" i="3"/>
  <c r="N29" i="3"/>
  <c r="O29" i="3"/>
  <c r="P29" i="3"/>
  <c r="AA29" i="3"/>
  <c r="AC29" i="3"/>
  <c r="AD29" i="3"/>
  <c r="AF29" i="3"/>
  <c r="AH29" i="3"/>
  <c r="AI29" i="3"/>
  <c r="AJ29" i="3"/>
  <c r="AK29" i="3"/>
  <c r="AM29" i="3"/>
  <c r="J29" i="3"/>
  <c r="Q28" i="3"/>
  <c r="K28" i="3"/>
  <c r="AB28" i="3"/>
  <c r="H28" i="3"/>
  <c r="L29" i="2"/>
  <c r="M29" i="2"/>
  <c r="N29" i="2"/>
  <c r="O29" i="2"/>
  <c r="P29" i="2"/>
  <c r="AB29" i="2"/>
  <c r="AE29" i="2"/>
  <c r="AF29" i="2"/>
  <c r="AH29" i="2"/>
  <c r="AI29" i="2"/>
  <c r="AJ29" i="2"/>
  <c r="AK29" i="2"/>
  <c r="AM29" i="2"/>
  <c r="T28" i="2"/>
  <c r="K28" i="2"/>
  <c r="U28" i="2" s="1"/>
  <c r="W28" i="2"/>
  <c r="X28" i="2"/>
  <c r="Y28" i="2"/>
  <c r="AC28" i="2"/>
  <c r="R28" i="2" l="1"/>
  <c r="Q26" i="25"/>
  <c r="T28" i="3"/>
  <c r="V28" i="3"/>
  <c r="X28" i="3"/>
  <c r="S28" i="3"/>
  <c r="W28" i="3"/>
  <c r="Y28" i="3"/>
  <c r="AA28" i="2"/>
  <c r="AG28" i="2" s="1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9" i="2"/>
  <c r="AV26" i="25" l="1"/>
  <c r="AT26" i="25"/>
  <c r="S26" i="25"/>
  <c r="T26" i="25" s="1"/>
  <c r="BF26" i="25"/>
  <c r="AW26" i="25"/>
  <c r="AX26" i="25"/>
  <c r="AU26" i="25"/>
  <c r="AY26" i="25"/>
  <c r="AE28" i="3"/>
  <c r="AL28" i="3" s="1"/>
  <c r="AL28" i="2"/>
  <c r="O25" i="25"/>
  <c r="AA29" i="2"/>
  <c r="M2" i="3"/>
  <c r="V3" i="3"/>
  <c r="U3" i="3"/>
  <c r="K27" i="3"/>
  <c r="K26" i="3"/>
  <c r="K24" i="3"/>
  <c r="K23" i="3"/>
  <c r="K22" i="3"/>
  <c r="K21" i="3"/>
  <c r="K20" i="3"/>
  <c r="K18" i="3"/>
  <c r="K17" i="3"/>
  <c r="K16" i="3"/>
  <c r="K15" i="3"/>
  <c r="K13" i="3"/>
  <c r="K12" i="3"/>
  <c r="K11" i="3"/>
  <c r="K10" i="3"/>
  <c r="K25" i="3"/>
  <c r="K19" i="3"/>
  <c r="K14" i="3"/>
  <c r="K9" i="3"/>
  <c r="N3" i="3"/>
  <c r="N2" i="3"/>
  <c r="M3" i="3"/>
  <c r="J29" i="2" l="1"/>
  <c r="BD26" i="25"/>
  <c r="AG7" i="1" s="1"/>
  <c r="AI7" i="1" s="1"/>
  <c r="AL8" i="1" s="1"/>
  <c r="AP26" i="25"/>
  <c r="AQ26" i="25"/>
  <c r="AO26" i="25"/>
  <c r="AR26" i="25"/>
  <c r="P25" i="25"/>
  <c r="Q25" i="25" s="1"/>
  <c r="AN28" i="3"/>
  <c r="AO28" i="3" s="1"/>
  <c r="AN28" i="2"/>
  <c r="AO28" i="2" s="1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AM5" i="25"/>
  <c r="J3" i="1" l="1"/>
  <c r="BA25" i="25"/>
  <c r="AT25" i="25"/>
  <c r="AL25" i="25"/>
  <c r="AY25" i="25"/>
  <c r="BF25" i="25"/>
  <c r="AX25" i="25"/>
  <c r="AU25" i="25"/>
  <c r="AW25" i="25"/>
  <c r="S25" i="25"/>
  <c r="T25" i="25" s="1"/>
  <c r="AN25" i="25"/>
  <c r="AV25" i="25"/>
  <c r="K5" i="25"/>
  <c r="BD25" i="25" l="1"/>
  <c r="BE25" i="25" s="1"/>
  <c r="AO25" i="25"/>
  <c r="AP25" i="25"/>
  <c r="AQ25" i="25"/>
  <c r="AR25" i="25"/>
  <c r="T6" i="1"/>
  <c r="T8" i="1" s="1"/>
  <c r="X9" i="2" l="1"/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9" i="2" l="1"/>
  <c r="Z27" i="3"/>
  <c r="T27" i="2"/>
  <c r="K27" i="2"/>
  <c r="R27" i="2" s="1"/>
  <c r="K26" i="2"/>
  <c r="U2" i="35" l="1"/>
  <c r="V27" i="3" l="1"/>
  <c r="AZ24" i="25"/>
  <c r="AK27" i="25"/>
  <c r="R24" i="25"/>
  <c r="N24" i="25"/>
  <c r="E24" i="25"/>
  <c r="AB27" i="3"/>
  <c r="Q27" i="3"/>
  <c r="H27" i="3"/>
  <c r="U27" i="2"/>
  <c r="W27" i="2"/>
  <c r="Y27" i="2"/>
  <c r="AC27" i="2"/>
  <c r="Y27" i="3" l="1"/>
  <c r="S27" i="3"/>
  <c r="W27" i="3"/>
  <c r="T27" i="3"/>
  <c r="X27" i="3"/>
  <c r="AE27" i="3" l="1"/>
  <c r="AL27" i="3" s="1"/>
  <c r="AN27" i="3" s="1"/>
  <c r="AO27" i="3" s="1"/>
  <c r="P24" i="25" l="1"/>
  <c r="AG27" i="2"/>
  <c r="AL27" i="2" l="1"/>
  <c r="AN27" i="2" s="1"/>
  <c r="AO27" i="2" s="1"/>
  <c r="O24" i="25"/>
  <c r="Q24" i="25" s="1"/>
  <c r="BF24" i="25" l="1"/>
  <c r="AX24" i="25"/>
  <c r="AV24" i="25"/>
  <c r="AN24" i="25"/>
  <c r="S24" i="25"/>
  <c r="T24" i="25" s="1"/>
  <c r="AU24" i="25"/>
  <c r="AT24" i="25"/>
  <c r="AL24" i="25"/>
  <c r="BA24" i="25"/>
  <c r="AW24" i="25"/>
  <c r="AY24" i="25"/>
  <c r="G27" i="41"/>
  <c r="J27" i="41" s="1"/>
  <c r="G26" i="41"/>
  <c r="J26" i="41" s="1"/>
  <c r="E27" i="41"/>
  <c r="E26" i="41"/>
  <c r="E25" i="41"/>
  <c r="G25" i="41" s="1"/>
  <c r="J25" i="41" s="1"/>
  <c r="E24" i="41"/>
  <c r="G24" i="41" s="1"/>
  <c r="J24" i="41" s="1"/>
  <c r="E20" i="41"/>
  <c r="G20" i="41" s="1"/>
  <c r="J20" i="41" s="1"/>
  <c r="E19" i="41"/>
  <c r="G19" i="41" s="1"/>
  <c r="J19" i="41" s="1"/>
  <c r="E18" i="41"/>
  <c r="G18" i="41" s="1"/>
  <c r="J18" i="41" s="1"/>
  <c r="E23" i="41"/>
  <c r="G23" i="41" s="1"/>
  <c r="J23" i="41" s="1"/>
  <c r="E22" i="41"/>
  <c r="G22" i="41" s="1"/>
  <c r="J22" i="41" s="1"/>
  <c r="E21" i="41"/>
  <c r="G21" i="41" s="1"/>
  <c r="J21" i="41" s="1"/>
  <c r="E17" i="41"/>
  <c r="G17" i="41" s="1"/>
  <c r="J17" i="41" s="1"/>
  <c r="Y16" i="41"/>
  <c r="E16" i="41"/>
  <c r="G16" i="41" s="1"/>
  <c r="J16" i="41" s="1"/>
  <c r="X15" i="41"/>
  <c r="Y15" i="41" s="1"/>
  <c r="E15" i="41"/>
  <c r="G15" i="41" s="1"/>
  <c r="J15" i="41" s="1"/>
  <c r="X14" i="41"/>
  <c r="Y14" i="41" s="1"/>
  <c r="E14" i="41"/>
  <c r="G14" i="41" s="1"/>
  <c r="J14" i="41" s="1"/>
  <c r="X13" i="41"/>
  <c r="Y13" i="41" s="1"/>
  <c r="E13" i="41"/>
  <c r="G13" i="41" s="1"/>
  <c r="J13" i="41" s="1"/>
  <c r="X12" i="41"/>
  <c r="Y12" i="41" s="1"/>
  <c r="E12" i="41"/>
  <c r="G12" i="41" s="1"/>
  <c r="J12" i="41" s="1"/>
  <c r="X11" i="41"/>
  <c r="Y11" i="41" s="1"/>
  <c r="E11" i="41"/>
  <c r="G11" i="41" s="1"/>
  <c r="J11" i="41" s="1"/>
  <c r="E10" i="41"/>
  <c r="G10" i="41" s="1"/>
  <c r="J10" i="41" s="1"/>
  <c r="X9" i="41"/>
  <c r="Y9" i="41" s="1"/>
  <c r="E9" i="41"/>
  <c r="G9" i="41" s="1"/>
  <c r="J9" i="41" s="1"/>
  <c r="X8" i="41"/>
  <c r="Y8" i="41" s="1"/>
  <c r="E8" i="41"/>
  <c r="G8" i="41" s="1"/>
  <c r="J8" i="41" s="1"/>
  <c r="A8" i="41"/>
  <c r="A9" i="41" s="1"/>
  <c r="A10" i="41" s="1"/>
  <c r="A11" i="41" s="1"/>
  <c r="A12" i="41" s="1"/>
  <c r="A13" i="41" s="1"/>
  <c r="A14" i="41" s="1"/>
  <c r="A15" i="41" s="1"/>
  <c r="A16" i="41" s="1"/>
  <c r="Y7" i="41"/>
  <c r="E7" i="41"/>
  <c r="G7" i="41" s="1"/>
  <c r="J7" i="41" s="1"/>
  <c r="AP24" i="25" l="1"/>
  <c r="AR24" i="25"/>
  <c r="AQ24" i="25"/>
  <c r="AO24" i="25"/>
  <c r="BD24" i="25"/>
  <c r="BE24" i="25" s="1"/>
  <c r="K25" i="2"/>
  <c r="I7" i="35" l="1"/>
  <c r="F2" i="35"/>
  <c r="AB26" i="3"/>
  <c r="X26" i="3"/>
  <c r="Y26" i="3"/>
  <c r="Z26" i="3"/>
  <c r="W26" i="3"/>
  <c r="T26" i="3"/>
  <c r="V26" i="3"/>
  <c r="H26" i="3"/>
  <c r="U26" i="2"/>
  <c r="W26" i="2"/>
  <c r="Y26" i="2"/>
  <c r="AC26" i="2"/>
  <c r="AZ23" i="25"/>
  <c r="R23" i="25"/>
  <c r="N23" i="25"/>
  <c r="E23" i="25"/>
  <c r="S26" i="3"/>
  <c r="K7" i="35" l="1"/>
  <c r="M7" i="35" s="1"/>
  <c r="Q26" i="3"/>
  <c r="AE26" i="3"/>
  <c r="P23" i="25" s="1"/>
  <c r="E21" i="36"/>
  <c r="E20" i="36"/>
  <c r="E19" i="36"/>
  <c r="E18" i="36"/>
  <c r="E17" i="36"/>
  <c r="E16" i="36"/>
  <c r="E15" i="36"/>
  <c r="E14" i="36"/>
  <c r="E12" i="36"/>
  <c r="E11" i="36"/>
  <c r="E10" i="36"/>
  <c r="E9" i="36"/>
  <c r="E7" i="36"/>
  <c r="E6" i="36"/>
  <c r="E4" i="36"/>
  <c r="E5" i="36"/>
  <c r="E3" i="36"/>
  <c r="E8" i="36"/>
  <c r="E13" i="36"/>
  <c r="T26" i="2" l="1"/>
  <c r="AG26" i="2" s="1"/>
  <c r="AL26" i="2" s="1"/>
  <c r="AN26" i="2" s="1"/>
  <c r="AO26" i="2" s="1"/>
  <c r="R26" i="2"/>
  <c r="AL26" i="3"/>
  <c r="AN26" i="3" s="1"/>
  <c r="AO26" i="3" s="1"/>
  <c r="T15" i="1"/>
  <c r="AI33" i="2"/>
  <c r="O23" i="25" l="1"/>
  <c r="Q23" i="25" s="1"/>
  <c r="BF23" i="25" s="1"/>
  <c r="AX23" i="25" l="1"/>
  <c r="AW23" i="25"/>
  <c r="AY23" i="25"/>
  <c r="AU23" i="25"/>
  <c r="S23" i="25"/>
  <c r="T23" i="25" s="1"/>
  <c r="AR23" i="25" s="1"/>
  <c r="AN23" i="25"/>
  <c r="BA23" i="25"/>
  <c r="AV23" i="25"/>
  <c r="AT23" i="25"/>
  <c r="AL23" i="25"/>
  <c r="AQ23" i="25" l="1"/>
  <c r="AO23" i="25"/>
  <c r="AP23" i="25"/>
  <c r="BD23" i="25"/>
  <c r="BE23" i="25" s="1"/>
  <c r="AJ10" i="1"/>
  <c r="AK8" i="1" l="1"/>
  <c r="K24" i="2" l="1"/>
  <c r="K23" i="2"/>
  <c r="K22" i="2"/>
  <c r="K21" i="2"/>
  <c r="K20" i="2"/>
  <c r="K18" i="2"/>
  <c r="K17" i="2"/>
  <c r="K16" i="2"/>
  <c r="K15" i="2"/>
  <c r="K13" i="2"/>
  <c r="K12" i="2"/>
  <c r="K11" i="2"/>
  <c r="K10" i="2"/>
  <c r="K19" i="2"/>
  <c r="K14" i="2"/>
  <c r="K9" i="2"/>
  <c r="K29" i="2" l="1"/>
  <c r="Q12" i="3"/>
  <c r="AZ22" i="25" l="1"/>
  <c r="AZ21" i="25"/>
  <c r="AZ20" i="25"/>
  <c r="AZ19" i="25"/>
  <c r="AZ18" i="25"/>
  <c r="AZ17" i="25"/>
  <c r="AZ16" i="25"/>
  <c r="AZ15" i="25"/>
  <c r="AZ14" i="25"/>
  <c r="AZ13" i="25"/>
  <c r="AZ12" i="25"/>
  <c r="AZ11" i="25"/>
  <c r="AZ10" i="25"/>
  <c r="AZ9" i="25"/>
  <c r="AZ8" i="25"/>
  <c r="AZ7" i="25"/>
  <c r="AZ6" i="25"/>
  <c r="AZ5" i="25"/>
  <c r="AZ27" i="25" s="1"/>
  <c r="C21" i="36"/>
  <c r="R11" i="2" l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9" i="2" l="1"/>
  <c r="T25" i="2"/>
  <c r="U25" i="2"/>
  <c r="AQ25" i="2"/>
  <c r="G2" i="35"/>
  <c r="I2" i="35" s="1"/>
  <c r="S8" i="1" l="1"/>
  <c r="F21" i="36"/>
  <c r="T2" i="25"/>
  <c r="P6" i="1" l="1"/>
  <c r="P8" i="1" s="1"/>
  <c r="Q6" i="1"/>
  <c r="Q8" i="1" s="1"/>
  <c r="S3" i="35" l="1"/>
  <c r="T3" i="35" s="1"/>
  <c r="F6" i="35" l="1"/>
  <c r="G6" i="35" s="1"/>
  <c r="H6" i="35" s="1"/>
  <c r="S2" i="35"/>
  <c r="T2" i="35" s="1"/>
  <c r="V2" i="35" l="1"/>
  <c r="R6" i="1"/>
  <c r="R8" i="1" s="1"/>
  <c r="I6" i="35"/>
  <c r="K6" i="35" s="1"/>
  <c r="M6" i="35" s="1"/>
  <c r="O8" i="37"/>
  <c r="P7" i="37"/>
  <c r="O7" i="37"/>
  <c r="L26" i="37"/>
  <c r="K26" i="37"/>
  <c r="J26" i="37"/>
  <c r="I26" i="37"/>
  <c r="H26" i="37"/>
  <c r="G26" i="37"/>
  <c r="F26" i="37"/>
  <c r="N25" i="37"/>
  <c r="Y25" i="37" s="1"/>
  <c r="M25" i="37"/>
  <c r="E25" i="37"/>
  <c r="P25" i="37" s="1"/>
  <c r="X25" i="37" s="1"/>
  <c r="O24" i="37"/>
  <c r="Q24" i="37" s="1"/>
  <c r="M24" i="37"/>
  <c r="N24" i="37" s="1"/>
  <c r="Y24" i="37" s="1"/>
  <c r="E24" i="37"/>
  <c r="P24" i="37" s="1"/>
  <c r="X24" i="37" s="1"/>
  <c r="N23" i="37"/>
  <c r="Y23" i="37" s="1"/>
  <c r="M23" i="37"/>
  <c r="E23" i="37"/>
  <c r="P23" i="37" s="1"/>
  <c r="X23" i="37" s="1"/>
  <c r="O22" i="37"/>
  <c r="Q22" i="37" s="1"/>
  <c r="M22" i="37"/>
  <c r="N22" i="37" s="1"/>
  <c r="Y22" i="37" s="1"/>
  <c r="E22" i="37"/>
  <c r="P22" i="37" s="1"/>
  <c r="X22" i="37" s="1"/>
  <c r="N21" i="37"/>
  <c r="Y21" i="37" s="1"/>
  <c r="M21" i="37"/>
  <c r="E21" i="37"/>
  <c r="P21" i="37" s="1"/>
  <c r="X21" i="37" s="1"/>
  <c r="O20" i="37"/>
  <c r="Q20" i="37" s="1"/>
  <c r="M20" i="37"/>
  <c r="N20" i="37" s="1"/>
  <c r="Y20" i="37" s="1"/>
  <c r="E20" i="37"/>
  <c r="P20" i="37" s="1"/>
  <c r="X20" i="37" s="1"/>
  <c r="N19" i="37"/>
  <c r="Y19" i="37" s="1"/>
  <c r="M19" i="37"/>
  <c r="E19" i="37"/>
  <c r="P19" i="37" s="1"/>
  <c r="X19" i="37" s="1"/>
  <c r="O18" i="37"/>
  <c r="Q18" i="37" s="1"/>
  <c r="M18" i="37"/>
  <c r="N18" i="37" s="1"/>
  <c r="Y18" i="37" s="1"/>
  <c r="E18" i="37"/>
  <c r="P18" i="37" s="1"/>
  <c r="X18" i="37" s="1"/>
  <c r="N17" i="37"/>
  <c r="Y17" i="37" s="1"/>
  <c r="M17" i="37"/>
  <c r="E17" i="37"/>
  <c r="P17" i="37" s="1"/>
  <c r="X17" i="37" s="1"/>
  <c r="O16" i="37"/>
  <c r="Q16" i="37" s="1"/>
  <c r="M16" i="37"/>
  <c r="N16" i="37" s="1"/>
  <c r="Y16" i="37" s="1"/>
  <c r="E16" i="37"/>
  <c r="P16" i="37" s="1"/>
  <c r="X16" i="37" s="1"/>
  <c r="N15" i="37"/>
  <c r="Y15" i="37" s="1"/>
  <c r="M15" i="37"/>
  <c r="E15" i="37"/>
  <c r="P15" i="37" s="1"/>
  <c r="X15" i="37" s="1"/>
  <c r="O14" i="37"/>
  <c r="Q14" i="37" s="1"/>
  <c r="M14" i="37"/>
  <c r="N14" i="37" s="1"/>
  <c r="Y14" i="37" s="1"/>
  <c r="E14" i="37"/>
  <c r="P14" i="37" s="1"/>
  <c r="X14" i="37" s="1"/>
  <c r="N13" i="37"/>
  <c r="Y13" i="37" s="1"/>
  <c r="M13" i="37"/>
  <c r="E13" i="37"/>
  <c r="P13" i="37" s="1"/>
  <c r="X13" i="37" s="1"/>
  <c r="O12" i="37"/>
  <c r="Q12" i="37" s="1"/>
  <c r="M12" i="37"/>
  <c r="N12" i="37" s="1"/>
  <c r="Y12" i="37" s="1"/>
  <c r="E12" i="37"/>
  <c r="P12" i="37" s="1"/>
  <c r="X12" i="37" s="1"/>
  <c r="N11" i="37"/>
  <c r="Y11" i="37" s="1"/>
  <c r="M11" i="37"/>
  <c r="E11" i="37"/>
  <c r="P11" i="37" s="1"/>
  <c r="X11" i="37" s="1"/>
  <c r="O10" i="37"/>
  <c r="Q10" i="37" s="1"/>
  <c r="M10" i="37"/>
  <c r="N10" i="37" s="1"/>
  <c r="Y10" i="37" s="1"/>
  <c r="E10" i="37"/>
  <c r="P10" i="37" s="1"/>
  <c r="X10" i="37" s="1"/>
  <c r="N9" i="37"/>
  <c r="Y9" i="37" s="1"/>
  <c r="M9" i="37"/>
  <c r="E9" i="37"/>
  <c r="P9" i="37" s="1"/>
  <c r="X9" i="37" s="1"/>
  <c r="P8" i="37"/>
  <c r="X8" i="37" s="1"/>
  <c r="M8" i="37"/>
  <c r="N8" i="37" s="1"/>
  <c r="Y8" i="37" s="1"/>
  <c r="E8" i="37"/>
  <c r="W8" i="37" s="1"/>
  <c r="W7" i="37"/>
  <c r="M7" i="37"/>
  <c r="N7" i="37" s="1"/>
  <c r="Y7" i="37" s="1"/>
  <c r="E7" i="37"/>
  <c r="X7" i="37" s="1"/>
  <c r="M6" i="37"/>
  <c r="N6" i="37" s="1"/>
  <c r="Y6" i="37" s="1"/>
  <c r="E6" i="37"/>
  <c r="O6" i="37" s="1"/>
  <c r="W6" i="37" s="1"/>
  <c r="O5" i="37"/>
  <c r="W5" i="37" s="1"/>
  <c r="M5" i="37"/>
  <c r="E5" i="37"/>
  <c r="P5" i="37" s="1"/>
  <c r="X5" i="37" s="1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4" i="37"/>
  <c r="A1" i="37"/>
  <c r="V29" i="2" l="1"/>
  <c r="AR25" i="2"/>
  <c r="AG29" i="3"/>
  <c r="R26" i="25" s="1"/>
  <c r="BA26" i="25" s="1"/>
  <c r="R6" i="25"/>
  <c r="W24" i="37"/>
  <c r="W22" i="37"/>
  <c r="W20" i="37"/>
  <c r="W18" i="37"/>
  <c r="W16" i="37"/>
  <c r="W14" i="37"/>
  <c r="W12" i="37"/>
  <c r="W10" i="37"/>
  <c r="M26" i="37"/>
  <c r="Z7" i="37"/>
  <c r="Q6" i="37"/>
  <c r="AA7" i="37"/>
  <c r="P6" i="37"/>
  <c r="Q7" i="37"/>
  <c r="Q5" i="37"/>
  <c r="N5" i="37"/>
  <c r="R5" i="37"/>
  <c r="Z5" i="37"/>
  <c r="R7" i="37"/>
  <c r="Z8" i="37"/>
  <c r="AA8" i="37" s="1"/>
  <c r="T8" i="37"/>
  <c r="Q8" i="37"/>
  <c r="R8" i="37"/>
  <c r="O9" i="37"/>
  <c r="W9" i="37" s="1"/>
  <c r="R10" i="37"/>
  <c r="Z10" i="37"/>
  <c r="AA10" i="37" s="1"/>
  <c r="O11" i="37"/>
  <c r="W11" i="37" s="1"/>
  <c r="R12" i="37"/>
  <c r="Z12" i="37"/>
  <c r="AA12" i="37" s="1"/>
  <c r="O13" i="37"/>
  <c r="W13" i="37" s="1"/>
  <c r="R14" i="37"/>
  <c r="Z14" i="37"/>
  <c r="AA14" i="37" s="1"/>
  <c r="O15" i="37"/>
  <c r="W15" i="37" s="1"/>
  <c r="R16" i="37"/>
  <c r="Z16" i="37"/>
  <c r="AA16" i="37" s="1"/>
  <c r="O17" i="37"/>
  <c r="W17" i="37" s="1"/>
  <c r="R18" i="37"/>
  <c r="Z18" i="37"/>
  <c r="AA18" i="37" s="1"/>
  <c r="O19" i="37"/>
  <c r="W19" i="37" s="1"/>
  <c r="R20" i="37"/>
  <c r="Z20" i="37"/>
  <c r="AA20" i="37" s="1"/>
  <c r="O21" i="37"/>
  <c r="W21" i="37" s="1"/>
  <c r="R22" i="37"/>
  <c r="Z22" i="37"/>
  <c r="AA22" i="37" s="1"/>
  <c r="O23" i="37"/>
  <c r="W23" i="37" s="1"/>
  <c r="R24" i="37"/>
  <c r="Z24" i="37"/>
  <c r="AA24" i="37" s="1"/>
  <c r="O25" i="37"/>
  <c r="W25" i="37" s="1"/>
  <c r="BE26" i="25" l="1"/>
  <c r="Z6" i="37"/>
  <c r="AA6" i="37" s="1"/>
  <c r="X6" i="37"/>
  <c r="Z23" i="37"/>
  <c r="AA23" i="37" s="1"/>
  <c r="Q23" i="37"/>
  <c r="R23" i="37" s="1"/>
  <c r="Z25" i="37"/>
  <c r="AA25" i="37" s="1"/>
  <c r="R25" i="37"/>
  <c r="Q25" i="37"/>
  <c r="Z21" i="37"/>
  <c r="AA21" i="37" s="1"/>
  <c r="Q21" i="37"/>
  <c r="R21" i="37" s="1"/>
  <c r="Z17" i="37"/>
  <c r="AA17" i="37" s="1"/>
  <c r="Q17" i="37"/>
  <c r="R17" i="37" s="1"/>
  <c r="Z13" i="37"/>
  <c r="AA13" i="37" s="1"/>
  <c r="Q13" i="37"/>
  <c r="R13" i="37" s="1"/>
  <c r="Z9" i="37"/>
  <c r="AA9" i="37" s="1"/>
  <c r="R9" i="37"/>
  <c r="Q9" i="37"/>
  <c r="N26" i="37"/>
  <c r="Y5" i="37"/>
  <c r="AA5" i="37" s="1"/>
  <c r="O26" i="37"/>
  <c r="R6" i="37"/>
  <c r="P26" i="37"/>
  <c r="Z19" i="37"/>
  <c r="AA19" i="37" s="1"/>
  <c r="R19" i="37"/>
  <c r="Q19" i="37"/>
  <c r="Z15" i="37"/>
  <c r="AA15" i="37" s="1"/>
  <c r="Q15" i="37"/>
  <c r="R15" i="37" s="1"/>
  <c r="Z11" i="37"/>
  <c r="AA11" i="37" s="1"/>
  <c r="Q11" i="37"/>
  <c r="R11" i="37" s="1"/>
  <c r="A7" i="6"/>
  <c r="A8" i="6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4" i="6"/>
  <c r="A1" i="6"/>
  <c r="R26" i="37" l="1"/>
  <c r="Q26" i="37"/>
  <c r="J26" i="6"/>
  <c r="K26" i="6"/>
  <c r="L26" i="6"/>
  <c r="M26" i="6"/>
  <c r="O26" i="6"/>
  <c r="P26" i="6"/>
  <c r="Q26" i="6"/>
  <c r="R26" i="6"/>
  <c r="N26" i="6"/>
  <c r="Q14" i="6"/>
  <c r="Q15" i="6"/>
  <c r="Q16" i="6"/>
  <c r="Q17" i="6"/>
  <c r="Q18" i="6"/>
  <c r="Q19" i="6"/>
  <c r="Q20" i="6"/>
  <c r="Q21" i="6"/>
  <c r="Q22" i="6"/>
  <c r="Q23" i="6"/>
  <c r="Q24" i="6"/>
  <c r="Q25" i="6"/>
  <c r="Q8" i="6"/>
  <c r="Q9" i="6"/>
  <c r="Q10" i="6"/>
  <c r="Q11" i="6"/>
  <c r="Q12" i="6"/>
  <c r="T8" i="6" l="1"/>
  <c r="M6" i="6" l="1"/>
  <c r="N6" i="6" s="1"/>
  <c r="M7" i="6"/>
  <c r="N7" i="6" s="1"/>
  <c r="M8" i="6"/>
  <c r="N8" i="6" s="1"/>
  <c r="M9" i="6"/>
  <c r="N9" i="6" s="1"/>
  <c r="M10" i="6"/>
  <c r="N10" i="6" s="1"/>
  <c r="M11" i="6"/>
  <c r="N11" i="6" s="1"/>
  <c r="M12" i="6"/>
  <c r="N12" i="6" s="1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5" i="6"/>
  <c r="N5" i="6" s="1"/>
  <c r="E19" i="6" l="1"/>
  <c r="E20" i="6"/>
  <c r="E21" i="6"/>
  <c r="E22" i="6"/>
  <c r="E23" i="6"/>
  <c r="E24" i="6"/>
  <c r="E25" i="6"/>
  <c r="E12" i="6"/>
  <c r="E13" i="6"/>
  <c r="E14" i="6"/>
  <c r="E15" i="6"/>
  <c r="E16" i="6"/>
  <c r="E17" i="6"/>
  <c r="E18" i="6"/>
  <c r="P17" i="6" l="1"/>
  <c r="O17" i="6"/>
  <c r="P15" i="6"/>
  <c r="O15" i="6"/>
  <c r="P13" i="6"/>
  <c r="O13" i="6"/>
  <c r="P25" i="6"/>
  <c r="O25" i="6"/>
  <c r="P23" i="6"/>
  <c r="O23" i="6"/>
  <c r="P21" i="6"/>
  <c r="O21" i="6"/>
  <c r="P19" i="6"/>
  <c r="O19" i="6"/>
  <c r="U15" i="6"/>
  <c r="U19" i="6"/>
  <c r="U23" i="6"/>
  <c r="P18" i="6"/>
  <c r="O18" i="6"/>
  <c r="U18" i="6"/>
  <c r="P16" i="6"/>
  <c r="O16" i="6"/>
  <c r="U16" i="6"/>
  <c r="P14" i="6"/>
  <c r="O14" i="6"/>
  <c r="U14" i="6"/>
  <c r="P12" i="6"/>
  <c r="O12" i="6"/>
  <c r="U12" i="6"/>
  <c r="P24" i="6"/>
  <c r="O24" i="6"/>
  <c r="U24" i="6"/>
  <c r="P22" i="6"/>
  <c r="O22" i="6"/>
  <c r="U22" i="6"/>
  <c r="P20" i="6"/>
  <c r="O20" i="6"/>
  <c r="U20" i="6"/>
  <c r="U13" i="6"/>
  <c r="U17" i="6"/>
  <c r="U21" i="6"/>
  <c r="U25" i="6"/>
  <c r="N4" i="3"/>
  <c r="M4" i="3"/>
  <c r="S2" i="3"/>
  <c r="S1" i="3"/>
  <c r="R22" i="25"/>
  <c r="R22" i="6" l="1"/>
  <c r="V22" i="6"/>
  <c r="W22" i="6" s="1"/>
  <c r="V12" i="6"/>
  <c r="R12" i="6"/>
  <c r="V16" i="6"/>
  <c r="W16" i="6" s="1"/>
  <c r="R16" i="6"/>
  <c r="V19" i="6"/>
  <c r="W19" i="6" s="1"/>
  <c r="R19" i="6"/>
  <c r="V21" i="6"/>
  <c r="W21" i="6" s="1"/>
  <c r="R21" i="6"/>
  <c r="V23" i="6"/>
  <c r="W23" i="6" s="1"/>
  <c r="R23" i="6"/>
  <c r="V25" i="6"/>
  <c r="W25" i="6" s="1"/>
  <c r="R25" i="6"/>
  <c r="V13" i="6"/>
  <c r="W13" i="6" s="1"/>
  <c r="Q13" i="6"/>
  <c r="R13" i="6" s="1"/>
  <c r="V15" i="6"/>
  <c r="R15" i="6"/>
  <c r="V17" i="6"/>
  <c r="W17" i="6" s="1"/>
  <c r="R17" i="6"/>
  <c r="R20" i="6"/>
  <c r="V20" i="6"/>
  <c r="W20" i="6" s="1"/>
  <c r="R24" i="6"/>
  <c r="V24" i="6"/>
  <c r="W24" i="6" s="1"/>
  <c r="W12" i="6"/>
  <c r="V14" i="6"/>
  <c r="W14" i="6" s="1"/>
  <c r="R14" i="6"/>
  <c r="R18" i="6"/>
  <c r="V18" i="6"/>
  <c r="W18" i="6" s="1"/>
  <c r="W15" i="6"/>
  <c r="R9" i="25"/>
  <c r="AA6" i="1"/>
  <c r="R5" i="25" s="1"/>
  <c r="R15" i="25"/>
  <c r="R14" i="25"/>
  <c r="R12" i="25"/>
  <c r="R10" i="25"/>
  <c r="R8" i="25"/>
  <c r="R7" i="25"/>
  <c r="R11" i="25"/>
  <c r="R20" i="25"/>
  <c r="R18" i="25"/>
  <c r="R17" i="25"/>
  <c r="R16" i="25"/>
  <c r="R13" i="25"/>
  <c r="R21" i="25"/>
  <c r="R19" i="25"/>
  <c r="N4" i="2"/>
  <c r="V2" i="3" s="1"/>
  <c r="R27" i="25" l="1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M5" i="25"/>
  <c r="L5" i="25"/>
  <c r="O6" i="1"/>
  <c r="N5" i="25" l="1"/>
  <c r="G10" i="3"/>
  <c r="Z10" i="3" s="1"/>
  <c r="G11" i="3"/>
  <c r="Z11" i="3" s="1"/>
  <c r="G12" i="3"/>
  <c r="Z12" i="3" s="1"/>
  <c r="G13" i="3"/>
  <c r="Z13" i="3" s="1"/>
  <c r="G14" i="3"/>
  <c r="Z14" i="3" s="1"/>
  <c r="G15" i="3"/>
  <c r="Z15" i="3" s="1"/>
  <c r="G16" i="3"/>
  <c r="Z16" i="3" s="1"/>
  <c r="G17" i="3"/>
  <c r="Z17" i="3" s="1"/>
  <c r="G18" i="3"/>
  <c r="Z18" i="3" s="1"/>
  <c r="G19" i="3"/>
  <c r="Z19" i="3" s="1"/>
  <c r="G20" i="3"/>
  <c r="Z20" i="3" s="1"/>
  <c r="G21" i="3"/>
  <c r="Z21" i="3" s="1"/>
  <c r="G22" i="3"/>
  <c r="Z22" i="3" s="1"/>
  <c r="G23" i="3"/>
  <c r="Z23" i="3" s="1"/>
  <c r="G24" i="3"/>
  <c r="Z24" i="3" s="1"/>
  <c r="G25" i="3"/>
  <c r="G9" i="3"/>
  <c r="Z9" i="3" s="1"/>
  <c r="Z25" i="3" l="1"/>
  <c r="Z29" i="3" s="1"/>
  <c r="AQ25" i="3"/>
  <c r="U25" i="3" s="1"/>
  <c r="H7" i="25"/>
  <c r="H6" i="25"/>
  <c r="H18" i="25"/>
  <c r="H17" i="25"/>
  <c r="H16" i="25"/>
  <c r="H15" i="25"/>
  <c r="H14" i="25"/>
  <c r="H13" i="25"/>
  <c r="H12" i="25"/>
  <c r="H11" i="25"/>
  <c r="H22" i="25"/>
  <c r="H10" i="25"/>
  <c r="H21" i="25"/>
  <c r="H9" i="25"/>
  <c r="H20" i="25"/>
  <c r="H19" i="25"/>
  <c r="H8" i="25"/>
  <c r="U29" i="3" l="1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V27" i="25"/>
  <c r="Q14" i="3"/>
  <c r="Q15" i="3"/>
  <c r="Q16" i="3"/>
  <c r="Q17" i="3"/>
  <c r="Q18" i="3"/>
  <c r="Q19" i="3"/>
  <c r="Q20" i="3"/>
  <c r="Q21" i="3"/>
  <c r="Q22" i="3"/>
  <c r="Q23" i="3"/>
  <c r="Q24" i="3"/>
  <c r="Q25" i="3"/>
  <c r="T2" i="2"/>
  <c r="T1" i="2"/>
  <c r="W15" i="2"/>
  <c r="Y15" i="2"/>
  <c r="W16" i="2"/>
  <c r="Y16" i="2"/>
  <c r="W17" i="2"/>
  <c r="Y17" i="2"/>
  <c r="W18" i="2"/>
  <c r="Y18" i="2"/>
  <c r="W19" i="2"/>
  <c r="Y19" i="2"/>
  <c r="W20" i="2"/>
  <c r="Y20" i="2"/>
  <c r="W21" i="2"/>
  <c r="Y21" i="2"/>
  <c r="W22" i="2"/>
  <c r="Y22" i="2"/>
  <c r="W23" i="2"/>
  <c r="Y23" i="2"/>
  <c r="W24" i="2"/>
  <c r="Y24" i="2"/>
  <c r="W25" i="2"/>
  <c r="Y25" i="2"/>
  <c r="U15" i="2"/>
  <c r="U16" i="2"/>
  <c r="U17" i="2"/>
  <c r="U18" i="2"/>
  <c r="U19" i="2"/>
  <c r="U20" i="2"/>
  <c r="U21" i="2"/>
  <c r="U22" i="2"/>
  <c r="U23" i="2"/>
  <c r="U24" i="2"/>
  <c r="U14" i="2"/>
  <c r="T14" i="2"/>
  <c r="T15" i="2"/>
  <c r="T16" i="2"/>
  <c r="T17" i="2"/>
  <c r="T18" i="2"/>
  <c r="T19" i="2"/>
  <c r="T20" i="2"/>
  <c r="T21" i="2"/>
  <c r="T22" i="2"/>
  <c r="T23" i="2"/>
  <c r="T24" i="2"/>
  <c r="E7" i="25"/>
  <c r="C4" i="36" s="1"/>
  <c r="E8" i="25"/>
  <c r="C5" i="36" s="1"/>
  <c r="E9" i="25"/>
  <c r="C6" i="36" s="1"/>
  <c r="E10" i="25"/>
  <c r="C7" i="36" s="1"/>
  <c r="E11" i="25"/>
  <c r="C8" i="36" s="1"/>
  <c r="E12" i="25"/>
  <c r="C9" i="36" s="1"/>
  <c r="E13" i="25"/>
  <c r="C10" i="36" s="1"/>
  <c r="E14" i="25"/>
  <c r="C11" i="36" s="1"/>
  <c r="E15" i="25"/>
  <c r="C12" i="36" s="1"/>
  <c r="E16" i="25"/>
  <c r="C13" i="36" s="1"/>
  <c r="E17" i="25"/>
  <c r="C14" i="36" s="1"/>
  <c r="E18" i="25"/>
  <c r="C15" i="36" s="1"/>
  <c r="E19" i="25"/>
  <c r="C16" i="36" s="1"/>
  <c r="E20" i="25"/>
  <c r="C17" i="36" s="1"/>
  <c r="E21" i="25"/>
  <c r="C18" i="36" s="1"/>
  <c r="E22" i="25"/>
  <c r="C19" i="36" s="1"/>
  <c r="C20" i="36"/>
  <c r="E6" i="25"/>
  <c r="C3" i="36" s="1"/>
  <c r="E5" i="25"/>
  <c r="C2" i="36" s="1"/>
  <c r="Y16" i="3"/>
  <c r="Y17" i="3"/>
  <c r="H14" i="3"/>
  <c r="H15" i="3"/>
  <c r="H16" i="3"/>
  <c r="H17" i="3"/>
  <c r="H18" i="3"/>
  <c r="H19" i="3"/>
  <c r="H20" i="3"/>
  <c r="H21" i="3"/>
  <c r="H22" i="3"/>
  <c r="H23" i="3"/>
  <c r="H24" i="3"/>
  <c r="H25" i="3"/>
  <c r="W14" i="2"/>
  <c r="Y14" i="2"/>
  <c r="Y24" i="3" l="1"/>
  <c r="W24" i="3"/>
  <c r="Y22" i="3"/>
  <c r="W22" i="3"/>
  <c r="Y20" i="3"/>
  <c r="W20" i="3"/>
  <c r="Y18" i="3"/>
  <c r="W18" i="3"/>
  <c r="W16" i="3"/>
  <c r="Y14" i="3"/>
  <c r="W14" i="3"/>
  <c r="Y25" i="3"/>
  <c r="W25" i="3"/>
  <c r="W23" i="3"/>
  <c r="Y23" i="3"/>
  <c r="Y21" i="3"/>
  <c r="W21" i="3"/>
  <c r="Y19" i="3"/>
  <c r="W17" i="3"/>
  <c r="Y15" i="3"/>
  <c r="W15" i="3"/>
  <c r="S25" i="3"/>
  <c r="AB25" i="3"/>
  <c r="AB23" i="3"/>
  <c r="AB21" i="3"/>
  <c r="V19" i="3"/>
  <c r="AB19" i="3"/>
  <c r="T17" i="3"/>
  <c r="AB17" i="3"/>
  <c r="V15" i="3"/>
  <c r="AB15" i="3"/>
  <c r="S24" i="3"/>
  <c r="AB24" i="3"/>
  <c r="V22" i="3"/>
  <c r="AB22" i="3"/>
  <c r="S20" i="3"/>
  <c r="AB20" i="3"/>
  <c r="S18" i="3"/>
  <c r="AB18" i="3"/>
  <c r="X16" i="3"/>
  <c r="AB16" i="3"/>
  <c r="V14" i="3"/>
  <c r="AB14" i="3"/>
  <c r="AG23" i="2"/>
  <c r="AG21" i="2"/>
  <c r="AG15" i="2"/>
  <c r="AG17" i="2"/>
  <c r="AG24" i="2"/>
  <c r="AG16" i="2"/>
  <c r="AG14" i="2"/>
  <c r="AL14" i="2" s="1"/>
  <c r="AN14" i="2" s="1"/>
  <c r="AG18" i="2"/>
  <c r="AG25" i="2"/>
  <c r="V21" i="3"/>
  <c r="AG20" i="2"/>
  <c r="AG19" i="2"/>
  <c r="AL19" i="2" s="1"/>
  <c r="AG22" i="2"/>
  <c r="S17" i="3"/>
  <c r="T22" i="3"/>
  <c r="T16" i="3"/>
  <c r="X18" i="3"/>
  <c r="V16" i="3"/>
  <c r="S22" i="3"/>
  <c r="S16" i="3"/>
  <c r="X25" i="3"/>
  <c r="V23" i="3"/>
  <c r="T21" i="3"/>
  <c r="T15" i="3"/>
  <c r="X20" i="3"/>
  <c r="V18" i="3"/>
  <c r="S21" i="3"/>
  <c r="S15" i="3"/>
  <c r="V25" i="3"/>
  <c r="X15" i="3"/>
  <c r="T20" i="3"/>
  <c r="T14" i="3"/>
  <c r="X22" i="3"/>
  <c r="V20" i="3"/>
  <c r="S14" i="3"/>
  <c r="X17" i="3"/>
  <c r="T25" i="3"/>
  <c r="T19" i="3"/>
  <c r="X24" i="3"/>
  <c r="S19" i="3"/>
  <c r="X19" i="3"/>
  <c r="V17" i="3"/>
  <c r="T24" i="3"/>
  <c r="T18" i="3"/>
  <c r="V24" i="3"/>
  <c r="X14" i="3"/>
  <c r="X23" i="3"/>
  <c r="X21" i="3"/>
  <c r="S23" i="3"/>
  <c r="T23" i="3"/>
  <c r="AE23" i="3" l="1"/>
  <c r="AE20" i="3"/>
  <c r="AL20" i="3" s="1"/>
  <c r="AN20" i="3" s="1"/>
  <c r="AL22" i="2"/>
  <c r="AN22" i="2" s="1"/>
  <c r="O15" i="25"/>
  <c r="O13" i="25"/>
  <c r="O21" i="25"/>
  <c r="O14" i="25"/>
  <c r="AL21" i="2"/>
  <c r="AN21" i="2" s="1"/>
  <c r="O17" i="25"/>
  <c r="O12" i="25"/>
  <c r="O20" i="25"/>
  <c r="O22" i="25"/>
  <c r="AO19" i="2"/>
  <c r="AL23" i="2"/>
  <c r="AN23" i="2" s="1"/>
  <c r="O18" i="25"/>
  <c r="AO14" i="2"/>
  <c r="AL24" i="2"/>
  <c r="AN24" i="2" s="1"/>
  <c r="AL15" i="2"/>
  <c r="AN15" i="2" s="1"/>
  <c r="AL18" i="2"/>
  <c r="AL17" i="2"/>
  <c r="AN17" i="2" s="1"/>
  <c r="O19" i="25"/>
  <c r="O16" i="25"/>
  <c r="AL25" i="2"/>
  <c r="AN25" i="2" s="1"/>
  <c r="AL16" i="2"/>
  <c r="AN16" i="2" s="1"/>
  <c r="AL20" i="2"/>
  <c r="AN20" i="2" s="1"/>
  <c r="O11" i="25"/>
  <c r="AE17" i="3"/>
  <c r="AL17" i="3" s="1"/>
  <c r="AN17" i="3" s="1"/>
  <c r="AE18" i="3"/>
  <c r="AL18" i="3" s="1"/>
  <c r="AN18" i="3" s="1"/>
  <c r="AE24" i="3"/>
  <c r="P21" i="25" s="1"/>
  <c r="AE25" i="3"/>
  <c r="AE14" i="3"/>
  <c r="AE15" i="3"/>
  <c r="AE16" i="3"/>
  <c r="AE21" i="3"/>
  <c r="AE22" i="3"/>
  <c r="AE19" i="3"/>
  <c r="AO22" i="2" l="1"/>
  <c r="Q21" i="25"/>
  <c r="AN21" i="25" s="1"/>
  <c r="AO21" i="2"/>
  <c r="AO23" i="2"/>
  <c r="AO18" i="3"/>
  <c r="AO20" i="3"/>
  <c r="AO17" i="3"/>
  <c r="P22" i="25"/>
  <c r="Q22" i="25" s="1"/>
  <c r="AO18" i="2"/>
  <c r="AO24" i="2"/>
  <c r="AO25" i="2"/>
  <c r="AP25" i="2" s="1"/>
  <c r="AO17" i="2"/>
  <c r="AO16" i="2"/>
  <c r="AO15" i="2"/>
  <c r="AO20" i="2"/>
  <c r="P14" i="25"/>
  <c r="Q14" i="25" s="1"/>
  <c r="BF14" i="25" s="1"/>
  <c r="P17" i="25"/>
  <c r="Q17" i="25" s="1"/>
  <c r="BF17" i="25" s="1"/>
  <c r="P15" i="25"/>
  <c r="Q15" i="25" s="1"/>
  <c r="BF15" i="25" s="1"/>
  <c r="AL24" i="3"/>
  <c r="AN24" i="3" s="1"/>
  <c r="AL25" i="3"/>
  <c r="AN25" i="3" s="1"/>
  <c r="P16" i="25"/>
  <c r="Q16" i="25" s="1"/>
  <c r="BF16" i="25" s="1"/>
  <c r="AL19" i="3"/>
  <c r="AN19" i="3" s="1"/>
  <c r="P20" i="25"/>
  <c r="Q20" i="25" s="1"/>
  <c r="BF20" i="25" s="1"/>
  <c r="AL23" i="3"/>
  <c r="AN23" i="3" s="1"/>
  <c r="P19" i="25"/>
  <c r="Q19" i="25" s="1"/>
  <c r="BF19" i="25" s="1"/>
  <c r="AL22" i="3"/>
  <c r="AN22" i="3" s="1"/>
  <c r="P18" i="25"/>
  <c r="Q18" i="25" s="1"/>
  <c r="BF18" i="25" s="1"/>
  <c r="AL21" i="3"/>
  <c r="AN21" i="3" s="1"/>
  <c r="P11" i="25"/>
  <c r="Q11" i="25" s="1"/>
  <c r="BF11" i="25" s="1"/>
  <c r="AL14" i="3"/>
  <c r="AL16" i="3"/>
  <c r="AN16" i="3" s="1"/>
  <c r="P13" i="25"/>
  <c r="Q13" i="25" s="1"/>
  <c r="BF13" i="25" s="1"/>
  <c r="AL15" i="3"/>
  <c r="AN15" i="3" s="1"/>
  <c r="P12" i="25"/>
  <c r="Q12" i="25" s="1"/>
  <c r="BF12" i="25" s="1"/>
  <c r="P2" i="25" l="1"/>
  <c r="BF22" i="25"/>
  <c r="BA21" i="25"/>
  <c r="BF21" i="25"/>
  <c r="AU21" i="25"/>
  <c r="AL21" i="25"/>
  <c r="AX21" i="25"/>
  <c r="S21" i="25"/>
  <c r="T21" i="25" s="1"/>
  <c r="AP21" i="25" s="1"/>
  <c r="AT21" i="25"/>
  <c r="AY21" i="25"/>
  <c r="AW21" i="25"/>
  <c r="F18" i="36"/>
  <c r="AV21" i="25"/>
  <c r="F8" i="36"/>
  <c r="S11" i="25"/>
  <c r="F15" i="36"/>
  <c r="S18" i="25"/>
  <c r="T18" i="25" s="1"/>
  <c r="F16" i="36"/>
  <c r="S19" i="25"/>
  <c r="T19" i="25" s="1"/>
  <c r="F17" i="36"/>
  <c r="S20" i="25"/>
  <c r="T20" i="25" s="1"/>
  <c r="F20" i="36"/>
  <c r="F13" i="36"/>
  <c r="S16" i="25"/>
  <c r="T16" i="25" s="1"/>
  <c r="F14" i="36"/>
  <c r="S17" i="25"/>
  <c r="T17" i="25" s="1"/>
  <c r="AO17" i="25" s="1"/>
  <c r="F9" i="36"/>
  <c r="S12" i="25"/>
  <c r="T12" i="25" s="1"/>
  <c r="F10" i="36"/>
  <c r="S13" i="25"/>
  <c r="T13" i="25" s="1"/>
  <c r="AN14" i="3"/>
  <c r="AO14" i="3" s="1"/>
  <c r="F12" i="36"/>
  <c r="S15" i="25"/>
  <c r="T15" i="25" s="1"/>
  <c r="AP15" i="25" s="1"/>
  <c r="F11" i="36"/>
  <c r="S14" i="25"/>
  <c r="T14" i="25" s="1"/>
  <c r="AR14" i="25" s="1"/>
  <c r="AW22" i="25"/>
  <c r="S22" i="25"/>
  <c r="T22" i="25" s="1"/>
  <c r="AO22" i="25" s="1"/>
  <c r="AO23" i="3"/>
  <c r="AP23" i="3" s="1"/>
  <c r="AO21" i="3"/>
  <c r="AU22" i="25"/>
  <c r="AV22" i="25"/>
  <c r="AN22" i="25"/>
  <c r="AT22" i="25"/>
  <c r="AY22" i="25"/>
  <c r="F19" i="36"/>
  <c r="AX22" i="25"/>
  <c r="AL22" i="25"/>
  <c r="BA22" i="25"/>
  <c r="AY1" i="25"/>
  <c r="AO25" i="3"/>
  <c r="BA11" i="25"/>
  <c r="BA18" i="25"/>
  <c r="BA19" i="25"/>
  <c r="BA20" i="25"/>
  <c r="BA16" i="25"/>
  <c r="AL17" i="25"/>
  <c r="BA17" i="25"/>
  <c r="BA12" i="25"/>
  <c r="BA13" i="25"/>
  <c r="AY15" i="25"/>
  <c r="BA15" i="25"/>
  <c r="BA14" i="25"/>
  <c r="AO24" i="3"/>
  <c r="AO15" i="3"/>
  <c r="AO16" i="3"/>
  <c r="AO19" i="3"/>
  <c r="AO22" i="3"/>
  <c r="AT17" i="25"/>
  <c r="AW17" i="25"/>
  <c r="AL15" i="25"/>
  <c r="AX15" i="25"/>
  <c r="AU17" i="25"/>
  <c r="AV15" i="25"/>
  <c r="AN15" i="25"/>
  <c r="AT15" i="25"/>
  <c r="AW15" i="25"/>
  <c r="AV17" i="25"/>
  <c r="AU14" i="25"/>
  <c r="AT14" i="25"/>
  <c r="AW14" i="25"/>
  <c r="AX14" i="25"/>
  <c r="AN14" i="25"/>
  <c r="AY14" i="25"/>
  <c r="AL14" i="25"/>
  <c r="AV14" i="25"/>
  <c r="AY17" i="25"/>
  <c r="AX17" i="25"/>
  <c r="AN17" i="25"/>
  <c r="AU15" i="25"/>
  <c r="AT13" i="25"/>
  <c r="AU13" i="25"/>
  <c r="AV13" i="25"/>
  <c r="AN13" i="25"/>
  <c r="AW13" i="25"/>
  <c r="AX13" i="25"/>
  <c r="AY13" i="25"/>
  <c r="AL13" i="25"/>
  <c r="AV18" i="25"/>
  <c r="AT18" i="25"/>
  <c r="AL18" i="25"/>
  <c r="AW18" i="25"/>
  <c r="AU18" i="25"/>
  <c r="AX18" i="25"/>
  <c r="AY18" i="25"/>
  <c r="AN18" i="25"/>
  <c r="AX20" i="25"/>
  <c r="AY20" i="25"/>
  <c r="AN20" i="25"/>
  <c r="AL20" i="25"/>
  <c r="AT20" i="25"/>
  <c r="AU20" i="25"/>
  <c r="AW20" i="25"/>
  <c r="AV20" i="25"/>
  <c r="AN19" i="25"/>
  <c r="AL19" i="25"/>
  <c r="AT19" i="25"/>
  <c r="AU19" i="25"/>
  <c r="AV19" i="25"/>
  <c r="AW19" i="25"/>
  <c r="AX19" i="25"/>
  <c r="AY19" i="25"/>
  <c r="AV12" i="25"/>
  <c r="AT12" i="25"/>
  <c r="AW12" i="25"/>
  <c r="AU12" i="25"/>
  <c r="AX12" i="25"/>
  <c r="AY12" i="25"/>
  <c r="AN12" i="25"/>
  <c r="AL12" i="25"/>
  <c r="AN11" i="25"/>
  <c r="AL11" i="25"/>
  <c r="AL16" i="25"/>
  <c r="AU16" i="25"/>
  <c r="AV16" i="25"/>
  <c r="AW16" i="25"/>
  <c r="AX16" i="25"/>
  <c r="AY16" i="25"/>
  <c r="AN16" i="25"/>
  <c r="AT16" i="25"/>
  <c r="AP25" i="3" l="1"/>
  <c r="AO21" i="25"/>
  <c r="AQ21" i="25"/>
  <c r="AR21" i="25"/>
  <c r="BD21" i="25"/>
  <c r="BE21" i="25" s="1"/>
  <c r="AQ22" i="25"/>
  <c r="AR22" i="25"/>
  <c r="BD22" i="25"/>
  <c r="BE22" i="25" s="1"/>
  <c r="AP22" i="25"/>
  <c r="AR17" i="25"/>
  <c r="AQ17" i="25"/>
  <c r="AP17" i="25"/>
  <c r="BD15" i="25"/>
  <c r="BE15" i="25" s="1"/>
  <c r="AR15" i="25"/>
  <c r="AO15" i="25"/>
  <c r="BD17" i="25"/>
  <c r="BE17" i="25" s="1"/>
  <c r="BD14" i="25"/>
  <c r="BE14" i="25" s="1"/>
  <c r="AQ15" i="25"/>
  <c r="AO14" i="25"/>
  <c r="AQ14" i="25"/>
  <c r="AP14" i="25"/>
  <c r="BD18" i="25"/>
  <c r="BE18" i="25" s="1"/>
  <c r="BD19" i="25"/>
  <c r="BE19" i="25" s="1"/>
  <c r="AO13" i="25"/>
  <c r="AP13" i="25"/>
  <c r="AQ13" i="25"/>
  <c r="AR13" i="25"/>
  <c r="BD16" i="25"/>
  <c r="BE16" i="25" s="1"/>
  <c r="AO18" i="25"/>
  <c r="AP18" i="25"/>
  <c r="AQ18" i="25"/>
  <c r="AR18" i="25"/>
  <c r="BD12" i="25"/>
  <c r="BE12" i="25" s="1"/>
  <c r="AQ20" i="25"/>
  <c r="AR20" i="25"/>
  <c r="AP20" i="25"/>
  <c r="AO20" i="25"/>
  <c r="BD20" i="25"/>
  <c r="BE20" i="25" s="1"/>
  <c r="AO19" i="25"/>
  <c r="AP19" i="25"/>
  <c r="AQ19" i="25"/>
  <c r="AR19" i="25"/>
  <c r="BD13" i="25"/>
  <c r="BE13" i="25" s="1"/>
  <c r="AO12" i="25"/>
  <c r="AP12" i="25"/>
  <c r="AQ12" i="25"/>
  <c r="AR12" i="25"/>
  <c r="AO16" i="25"/>
  <c r="AP16" i="25"/>
  <c r="AQ16" i="25"/>
  <c r="AR16" i="25"/>
  <c r="A1" i="25" l="1"/>
  <c r="A1" i="41" s="1"/>
  <c r="H10" i="3"/>
  <c r="W10" i="3"/>
  <c r="H11" i="3"/>
  <c r="W11" i="3"/>
  <c r="H12" i="3"/>
  <c r="H13" i="3"/>
  <c r="Y13" i="3"/>
  <c r="H9" i="3"/>
  <c r="AB9" i="3"/>
  <c r="Q13" i="3"/>
  <c r="Q11" i="3"/>
  <c r="Q10" i="3"/>
  <c r="A10" i="3"/>
  <c r="A11" i="3" s="1"/>
  <c r="Q9" i="3"/>
  <c r="D3" i="3"/>
  <c r="R28" i="3" s="1"/>
  <c r="A1" i="3"/>
  <c r="A10" i="2"/>
  <c r="A11" i="2" s="1"/>
  <c r="Q29" i="3" l="1"/>
  <c r="R26" i="3"/>
  <c r="R27" i="3"/>
  <c r="W13" i="3"/>
  <c r="Y12" i="3"/>
  <c r="W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X9" i="3"/>
  <c r="AB13" i="3"/>
  <c r="AB12" i="3"/>
  <c r="Y11" i="3"/>
  <c r="AB11" i="3"/>
  <c r="Y10" i="3"/>
  <c r="AB10" i="3"/>
  <c r="Y9" i="3"/>
  <c r="V11" i="3"/>
  <c r="X11" i="3"/>
  <c r="R17" i="3"/>
  <c r="R18" i="3"/>
  <c r="R19" i="3"/>
  <c r="R20" i="3"/>
  <c r="R21" i="3"/>
  <c r="R22" i="3"/>
  <c r="R23" i="3"/>
  <c r="R24" i="3"/>
  <c r="R25" i="3"/>
  <c r="R14" i="3"/>
  <c r="R15" i="3"/>
  <c r="R16" i="3"/>
  <c r="V10" i="3"/>
  <c r="S10" i="3"/>
  <c r="X10" i="3"/>
  <c r="S11" i="3"/>
  <c r="S9" i="3"/>
  <c r="S12" i="3"/>
  <c r="X12" i="3"/>
  <c r="V9" i="3"/>
  <c r="T10" i="3"/>
  <c r="T11" i="3"/>
  <c r="V12" i="3"/>
  <c r="T13" i="3"/>
  <c r="T9" i="3"/>
  <c r="W29" i="3"/>
  <c r="T12" i="3"/>
  <c r="S13" i="3"/>
  <c r="V13" i="3"/>
  <c r="X13" i="3"/>
  <c r="R9" i="3"/>
  <c r="R10" i="3"/>
  <c r="R11" i="3"/>
  <c r="R12" i="3"/>
  <c r="R13" i="3"/>
  <c r="AE9" i="3" l="1"/>
  <c r="R29" i="3"/>
  <c r="Y29" i="3"/>
  <c r="V29" i="3"/>
  <c r="AB29" i="3"/>
  <c r="T29" i="3"/>
  <c r="S29" i="3"/>
  <c r="X29" i="3"/>
  <c r="AE12" i="3"/>
  <c r="P9" i="25" s="1"/>
  <c r="AE10" i="3"/>
  <c r="AE11" i="3"/>
  <c r="P8" i="25" s="1"/>
  <c r="AE13" i="3"/>
  <c r="AE29" i="3" l="1"/>
  <c r="AL9" i="3"/>
  <c r="P7" i="25"/>
  <c r="P6" i="25"/>
  <c r="AL11" i="3"/>
  <c r="AN11" i="3" s="1"/>
  <c r="AL10" i="3"/>
  <c r="AL13" i="3"/>
  <c r="AN13" i="3" s="1"/>
  <c r="P10" i="25"/>
  <c r="AL12" i="3"/>
  <c r="AL29" i="3" l="1"/>
  <c r="AN9" i="3"/>
  <c r="AN10" i="3"/>
  <c r="AN12" i="3"/>
  <c r="AO12" i="3" s="1"/>
  <c r="AQ12" i="3" s="1"/>
  <c r="W10" i="2"/>
  <c r="Y10" i="2"/>
  <c r="W11" i="2"/>
  <c r="Y11" i="2"/>
  <c r="W12" i="2"/>
  <c r="Y12" i="2"/>
  <c r="W13" i="2"/>
  <c r="Y13" i="2"/>
  <c r="T10" i="2"/>
  <c r="U10" i="2"/>
  <c r="T11" i="2"/>
  <c r="U11" i="2"/>
  <c r="T12" i="2"/>
  <c r="U12" i="2"/>
  <c r="T13" i="2"/>
  <c r="U13" i="2"/>
  <c r="D3" i="2"/>
  <c r="A1" i="2"/>
  <c r="AE8" i="1"/>
  <c r="AD8" i="1"/>
  <c r="AC8" i="1"/>
  <c r="J8" i="1"/>
  <c r="H6" i="1"/>
  <c r="S27" i="2" l="1"/>
  <c r="S28" i="2"/>
  <c r="AO9" i="3"/>
  <c r="AN29" i="3"/>
  <c r="S26" i="2"/>
  <c r="AO10" i="3"/>
  <c r="AG10" i="2"/>
  <c r="S13" i="2"/>
  <c r="S22" i="2"/>
  <c r="S25" i="2"/>
  <c r="S23" i="2"/>
  <c r="S24" i="2"/>
  <c r="S14" i="2"/>
  <c r="S15" i="2"/>
  <c r="S16" i="2"/>
  <c r="S17" i="2"/>
  <c r="S21" i="2"/>
  <c r="S18" i="2"/>
  <c r="S19" i="2"/>
  <c r="S20" i="2"/>
  <c r="AG13" i="2"/>
  <c r="AG12" i="2"/>
  <c r="AG11" i="2"/>
  <c r="S11" i="2"/>
  <c r="X6" i="1"/>
  <c r="S10" i="2"/>
  <c r="S12" i="2"/>
  <c r="P5" i="25" l="1"/>
  <c r="P27" i="25" s="1"/>
  <c r="X8" i="1"/>
  <c r="AL11" i="2"/>
  <c r="AN11" i="2" s="1"/>
  <c r="O8" i="25"/>
  <c r="Q8" i="25" s="1"/>
  <c r="AL12" i="2"/>
  <c r="AN12" i="2" s="1"/>
  <c r="O9" i="25"/>
  <c r="Q9" i="25" s="1"/>
  <c r="BF9" i="25" s="1"/>
  <c r="AL10" i="2"/>
  <c r="O7" i="25"/>
  <c r="Q7" i="25" s="1"/>
  <c r="BF7" i="25" s="1"/>
  <c r="AL13" i="2"/>
  <c r="AN13" i="2" s="1"/>
  <c r="O10" i="25"/>
  <c r="Q10" i="25" s="1"/>
  <c r="BF10" i="25" s="1"/>
  <c r="BF8" i="25" l="1"/>
  <c r="AT8" i="25"/>
  <c r="AY41" i="25"/>
  <c r="AY39" i="25"/>
  <c r="AT2" i="25"/>
  <c r="AN10" i="2"/>
  <c r="AO10" i="2" s="1"/>
  <c r="T3" i="25"/>
  <c r="F7" i="36"/>
  <c r="S10" i="25"/>
  <c r="T10" i="25" s="1"/>
  <c r="F6" i="36"/>
  <c r="S9" i="25"/>
  <c r="T9" i="25" s="1"/>
  <c r="AO9" i="25" s="1"/>
  <c r="F5" i="36"/>
  <c r="AO13" i="3"/>
  <c r="AO13" i="2"/>
  <c r="AO12" i="2"/>
  <c r="AO11" i="3"/>
  <c r="AO11" i="2"/>
  <c r="AZ1" i="25"/>
  <c r="F4" i="36"/>
  <c r="BA10" i="25"/>
  <c r="BA7" i="25"/>
  <c r="BA9" i="25"/>
  <c r="BA8" i="25"/>
  <c r="AX7" i="25"/>
  <c r="AU8" i="25"/>
  <c r="AX8" i="25"/>
  <c r="AV8" i="25"/>
  <c r="AL8" i="25"/>
  <c r="AN7" i="25"/>
  <c r="AV7" i="25"/>
  <c r="AN8" i="25"/>
  <c r="AY7" i="25"/>
  <c r="AW8" i="25"/>
  <c r="AN10" i="25"/>
  <c r="AL10" i="25"/>
  <c r="AN9" i="25"/>
  <c r="AL9" i="25"/>
  <c r="AW7" i="25"/>
  <c r="AL7" i="25"/>
  <c r="AU7" i="25"/>
  <c r="AY8" i="25"/>
  <c r="AT7" i="25"/>
  <c r="AW9" i="25"/>
  <c r="AX9" i="25"/>
  <c r="AY9" i="25"/>
  <c r="AT9" i="25"/>
  <c r="AV9" i="25"/>
  <c r="AU9" i="25"/>
  <c r="AV11" i="25"/>
  <c r="AW11" i="25"/>
  <c r="AY11" i="25"/>
  <c r="AX11" i="25"/>
  <c r="AT11" i="25"/>
  <c r="AU11" i="25"/>
  <c r="AW10" i="25"/>
  <c r="AX10" i="25"/>
  <c r="AY10" i="25"/>
  <c r="AT10" i="25"/>
  <c r="AV10" i="25"/>
  <c r="AU10" i="25"/>
  <c r="AY40" i="25" l="1"/>
  <c r="AY42" i="25" s="1"/>
  <c r="AO29" i="3"/>
  <c r="BD8" i="25"/>
  <c r="BE8" i="25" s="1"/>
  <c r="BD7" i="25"/>
  <c r="BD9" i="25"/>
  <c r="BE9" i="25" s="1"/>
  <c r="AR9" i="25"/>
  <c r="AP9" i="25"/>
  <c r="AQ9" i="25"/>
  <c r="BD10" i="25"/>
  <c r="BE10" i="25" s="1"/>
  <c r="AP10" i="25"/>
  <c r="AO10" i="25"/>
  <c r="AR10" i="25"/>
  <c r="AQ10" i="25"/>
  <c r="BD11" i="25"/>
  <c r="BE11" i="25" s="1"/>
  <c r="AP29" i="3" l="1"/>
  <c r="BE7" i="25"/>
  <c r="F26" i="6" l="1"/>
  <c r="E11" i="6"/>
  <c r="P11" i="6" l="1"/>
  <c r="O11" i="6"/>
  <c r="U11" i="6"/>
  <c r="T11" i="25"/>
  <c r="G26" i="6"/>
  <c r="H26" i="6"/>
  <c r="I26" i="6"/>
  <c r="V11" i="6" l="1"/>
  <c r="R11" i="6"/>
  <c r="W11" i="6"/>
  <c r="AR11" i="25"/>
  <c r="AQ11" i="25"/>
  <c r="AO11" i="25"/>
  <c r="AP11" i="25"/>
  <c r="E9" i="6"/>
  <c r="E10" i="6"/>
  <c r="A5" i="6"/>
  <c r="E5" i="6"/>
  <c r="E6" i="6"/>
  <c r="E7" i="6"/>
  <c r="E8" i="6"/>
  <c r="P8" i="6" l="1"/>
  <c r="O8" i="6"/>
  <c r="P6" i="6"/>
  <c r="O6" i="6"/>
  <c r="U6" i="6"/>
  <c r="P9" i="6"/>
  <c r="O9" i="6"/>
  <c r="O7" i="6"/>
  <c r="P7" i="6"/>
  <c r="P5" i="6"/>
  <c r="O5" i="6"/>
  <c r="U5" i="6"/>
  <c r="P10" i="6"/>
  <c r="O10" i="6"/>
  <c r="U10" i="6"/>
  <c r="Q28" i="25"/>
  <c r="V10" i="6" l="1"/>
  <c r="W10" i="6" s="1"/>
  <c r="R10" i="6"/>
  <c r="V7" i="6"/>
  <c r="Q7" i="6"/>
  <c r="R7" i="6" s="1"/>
  <c r="Q6" i="6"/>
  <c r="R6" i="6" s="1"/>
  <c r="V6" i="6"/>
  <c r="W6" i="6" s="1"/>
  <c r="V8" i="6"/>
  <c r="R8" i="6"/>
  <c r="Q5" i="6"/>
  <c r="R5" i="6" s="1"/>
  <c r="V5" i="6"/>
  <c r="W5" i="6" s="1"/>
  <c r="R9" i="6"/>
  <c r="V9" i="6"/>
  <c r="W9" i="2" l="1"/>
  <c r="W29" i="2" s="1"/>
  <c r="Y9" i="2"/>
  <c r="Y29" i="2" s="1"/>
  <c r="Z29" i="2"/>
  <c r="N8" i="25" l="1"/>
  <c r="S8" i="25" s="1"/>
  <c r="T8" i="25" l="1"/>
  <c r="AP8" i="25" l="1"/>
  <c r="AQ8" i="25"/>
  <c r="AO8" i="25"/>
  <c r="AR8" i="25"/>
  <c r="A5" i="25"/>
  <c r="A6" i="25" l="1"/>
  <c r="U9" i="6"/>
  <c r="W9" i="6" s="1"/>
  <c r="A6" i="6" l="1"/>
  <c r="U9" i="2" l="1"/>
  <c r="U29" i="2" s="1"/>
  <c r="D32" i="25" l="1"/>
  <c r="S9" i="2" l="1"/>
  <c r="S29" i="2" s="1"/>
  <c r="Q1" i="25" l="1"/>
  <c r="G25" i="25" l="1"/>
  <c r="G26" i="25"/>
  <c r="G23" i="25"/>
  <c r="G24" i="25"/>
  <c r="G16" i="25"/>
  <c r="G17" i="25"/>
  <c r="G18" i="25"/>
  <c r="G19" i="25"/>
  <c r="G20" i="25"/>
  <c r="G21" i="25"/>
  <c r="G22" i="25"/>
  <c r="G12" i="25"/>
  <c r="G15" i="25"/>
  <c r="G13" i="25"/>
  <c r="G14" i="25"/>
  <c r="G5" i="25"/>
  <c r="G11" i="25"/>
  <c r="G10" i="25"/>
  <c r="G9" i="25"/>
  <c r="G8" i="25"/>
  <c r="N6" i="25" l="1"/>
  <c r="N7" i="25"/>
  <c r="S7" i="25" s="1"/>
  <c r="BC53" i="25"/>
  <c r="D34" i="25"/>
  <c r="AR35" i="25"/>
  <c r="T7" i="25" l="1"/>
  <c r="G7" i="25"/>
  <c r="G6" i="25"/>
  <c r="AO7" i="25" l="1"/>
  <c r="AP7" i="25"/>
  <c r="AQ7" i="25"/>
  <c r="AR7" i="25"/>
  <c r="A7" i="25"/>
  <c r="A8" i="25" l="1"/>
  <c r="A9" i="25" s="1"/>
  <c r="A10" i="25" s="1"/>
  <c r="A11" i="25" l="1"/>
  <c r="A12" i="25" l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l="1"/>
  <c r="A24" i="25" s="1"/>
  <c r="A25" i="25" l="1"/>
  <c r="U7" i="6"/>
  <c r="W7" i="6" s="1"/>
  <c r="U8" i="6"/>
  <c r="W8" i="6" s="1"/>
  <c r="A26" i="25" l="1"/>
  <c r="A27" i="25" s="1"/>
  <c r="AO28" i="25" s="1"/>
  <c r="AP28" i="25" l="1"/>
  <c r="AQ28" i="25"/>
  <c r="AR28" i="25"/>
  <c r="T9" i="2"/>
  <c r="T29" i="2" s="1"/>
  <c r="R29" i="2"/>
  <c r="M4" i="2"/>
  <c r="U2" i="3" s="1"/>
  <c r="AG9" i="2" l="1"/>
  <c r="AG29" i="2" s="1"/>
  <c r="R29" i="25" l="1"/>
  <c r="AL9" i="2" l="1"/>
  <c r="AL29" i="2" s="1"/>
  <c r="O6" i="25"/>
  <c r="O27" i="25" s="1"/>
  <c r="AN9" i="2" l="1"/>
  <c r="AN29" i="2" s="1"/>
  <c r="Q6" i="25"/>
  <c r="Q5" i="25"/>
  <c r="BF5" i="25" l="1"/>
  <c r="Q27" i="25"/>
  <c r="BF6" i="25"/>
  <c r="AO9" i="2"/>
  <c r="AO29" i="2" s="1"/>
  <c r="AL5" i="25"/>
  <c r="S6" i="25"/>
  <c r="S5" i="25"/>
  <c r="BA5" i="25"/>
  <c r="F2" i="36"/>
  <c r="AV5" i="25"/>
  <c r="AW5" i="25"/>
  <c r="AN5" i="25"/>
  <c r="F3" i="36"/>
  <c r="AN6" i="25"/>
  <c r="AV6" i="25"/>
  <c r="BA6" i="25"/>
  <c r="AU6" i="25"/>
  <c r="AY6" i="25"/>
  <c r="AX6" i="25"/>
  <c r="AT6" i="25"/>
  <c r="AW6" i="25"/>
  <c r="AL6" i="25"/>
  <c r="AL27" i="25" l="1"/>
  <c r="AW27" i="25"/>
  <c r="AN27" i="25"/>
  <c r="AV27" i="25"/>
  <c r="BA27" i="25"/>
  <c r="S27" i="25"/>
  <c r="BD6" i="25"/>
  <c r="T6" i="25"/>
  <c r="BE6" i="25" l="1"/>
  <c r="AO6" i="25"/>
  <c r="AR6" i="25"/>
  <c r="AP6" i="25"/>
  <c r="AQ6" i="25"/>
  <c r="AY5" i="25" l="1"/>
  <c r="AY27" i="25" s="1"/>
  <c r="AX5" i="25"/>
  <c r="AX27" i="25" s="1"/>
  <c r="AT5" i="25"/>
  <c r="AT27" i="25" s="1"/>
  <c r="AU5" i="25"/>
  <c r="AU27" i="25" s="1"/>
  <c r="AW33" i="25" l="1"/>
  <c r="AW31" i="25"/>
  <c r="BD5" i="25"/>
  <c r="BD27" i="25" s="1"/>
  <c r="T5" i="25"/>
  <c r="T27" i="25" s="1"/>
  <c r="BE5" i="25" l="1"/>
  <c r="BE27" i="25" s="1"/>
  <c r="AO5" i="25"/>
  <c r="AO27" i="25" s="1"/>
  <c r="S31" i="25"/>
  <c r="S33" i="25" s="1"/>
  <c r="AG6" i="1"/>
  <c r="AR5" i="25"/>
  <c r="AR27" i="25" s="1"/>
  <c r="AQ5" i="25"/>
  <c r="AQ27" i="25" s="1"/>
  <c r="AP5" i="25"/>
  <c r="AP27" i="25" s="1"/>
  <c r="AI6" i="1" l="1"/>
  <c r="AG8" i="1"/>
  <c r="AR33" i="25"/>
  <c r="S40" i="25"/>
  <c r="D30" i="25"/>
  <c r="AK6" i="1" l="1"/>
  <c r="AI8" i="1"/>
  <c r="AO31" i="3" s="1"/>
  <c r="AW35" i="25"/>
  <c r="AX36" i="25" s="1"/>
  <c r="AP3" i="3" l="1"/>
  <c r="AR31" i="25"/>
  <c r="S39" i="25" l="1"/>
  <c r="AP29" i="25"/>
  <c r="AR29" i="25"/>
  <c r="AR37" i="25"/>
  <c r="AR39" i="25" s="1"/>
  <c r="AR41" i="25" s="1"/>
  <c r="AO29" i="25"/>
  <c r="AQ29" i="25"/>
</calcChain>
</file>

<file path=xl/comments1.xml><?xml version="1.0" encoding="utf-8"?>
<comments xmlns="http://schemas.openxmlformats.org/spreadsheetml/2006/main">
  <authors>
    <author>auditoria</author>
  </authors>
  <commentList>
    <comment ref="T5" authorId="0">
      <text>
        <r>
          <rPr>
            <b/>
            <sz val="9"/>
            <color indexed="81"/>
            <rFont val="Tahoma"/>
            <family val="2"/>
          </rPr>
          <t>No se considerará falta a los efectos de la percepción de este premio los siguientes casos: vacaciones y licencias establecidas por ley; ausencias autorizadas por falta de trabajo; Día del Trabajador de la Carne; ausencia por ser dador de sangre, y licencias por fallecimiento de un familiar de primer grado o cónyuge.</t>
        </r>
      </text>
    </comment>
  </commentList>
</comments>
</file>

<file path=xl/comments2.xml><?xml version="1.0" encoding="utf-8"?>
<comments xmlns="http://schemas.openxmlformats.org/spreadsheetml/2006/main">
  <authors>
    <author>TURNO TARDE</author>
    <author>auditoria</author>
    <author>Audiotoria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L a V 8hs 
S 4 hs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>No se considerará falta a los efectos de la percepción de este premio los siguientes casos: vacaciones y licencias establecidas por ley; ausencias autorizadas por falta de trabajo; Día del Trabajador de la Carne; ausencia por ser dador de sangre, y licencias por fallecimiento de un familiar de primer grado o cónyuge.</t>
        </r>
      </text>
    </comment>
    <comment ref="H9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11-2022</t>
        </r>
      </text>
    </comment>
    <comment ref="H10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11-2022</t>
        </r>
      </text>
    </comment>
    <comment ref="H11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H12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11-2022</t>
        </r>
      </text>
    </comment>
    <comment ref="H13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V14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sobresueldo 5000 neto
AUMENTA 2º Q 06-2022 5775</t>
        </r>
      </text>
    </comment>
    <comment ref="H15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H17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H18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H22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11-2022</t>
        </r>
      </text>
    </comment>
    <comment ref="H23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PEON PASA A SEMI DESDE 08-2022 Y PASA A CALIF 02-2023</t>
        </r>
      </text>
    </comment>
    <comment ref="H24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11-2022 Y PASA A CALIFICADO 05-2023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CALIFICADO  11-2022</t>
        </r>
      </text>
    </comment>
    <comment ref="V25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sobresueldo 5000 neto
AUMENTA 2º Q 06-2022 5775</t>
        </r>
      </text>
    </comment>
    <comment ref="H26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03-2023</t>
        </r>
      </text>
    </comment>
    <comment ref="H27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03-2023</t>
        </r>
      </text>
    </comment>
    <comment ref="H28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PASA A PEON PRACTICO 05-2023</t>
        </r>
      </text>
    </comment>
  </commentList>
</comments>
</file>

<file path=xl/comments3.xml><?xml version="1.0" encoding="utf-8"?>
<comments xmlns="http://schemas.openxmlformats.org/spreadsheetml/2006/main">
  <authors>
    <author>TURNO TARDE</author>
    <author>auditoria</author>
    <author>Audiotoria</author>
  </authors>
  <commentList>
    <comment ref="L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L a V 8hs 
S 4 hs</t>
        </r>
      </text>
    </comment>
    <comment ref="Z8" authorId="1">
      <text>
        <r>
          <rPr>
            <b/>
            <sz val="9"/>
            <color indexed="81"/>
            <rFont val="Tahoma"/>
            <family val="2"/>
          </rPr>
          <t>No se considerará falta a los efectos de la percepción de este premio los siguientes casos: vacaciones y licencias establecidas por ley; ausencias autorizadas por falta de trabajo; Día del Trabajador de la Carne; ausencia por ser dador de sangre, y licencias por fallecimiento de un familiar de primer grado o cónyuge.</t>
        </r>
      </text>
    </comment>
    <comment ref="U14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sobresueldo 30000 neto</t>
        </r>
      </text>
    </comment>
    <comment ref="U25" authorId="2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sobresueldo 5000 neto</t>
        </r>
      </text>
    </comment>
  </commentList>
</comments>
</file>

<file path=xl/sharedStrings.xml><?xml version="1.0" encoding="utf-8"?>
<sst xmlns="http://schemas.openxmlformats.org/spreadsheetml/2006/main" count="719" uniqueCount="267">
  <si>
    <t>C.U.I.L.</t>
  </si>
  <si>
    <t>Apellido y Nombres</t>
  </si>
  <si>
    <t>SAC</t>
  </si>
  <si>
    <t>Fecha Ingreso</t>
  </si>
  <si>
    <t>Sueldo</t>
  </si>
  <si>
    <t>Nº</t>
  </si>
  <si>
    <t>Leg</t>
  </si>
  <si>
    <t>Antigüedad</t>
  </si>
  <si>
    <t>A.R.T.</t>
  </si>
  <si>
    <t>Contrib. S.S.</t>
  </si>
  <si>
    <t>Obra Social</t>
  </si>
  <si>
    <t>Aporte S.S.</t>
  </si>
  <si>
    <t>Jornada</t>
  </si>
  <si>
    <t>Jubilación</t>
  </si>
  <si>
    <t>Ley 19032</t>
  </si>
  <si>
    <t>Asig. Fliares.</t>
  </si>
  <si>
    <t>F.N.E.</t>
  </si>
  <si>
    <t>Anssal</t>
  </si>
  <si>
    <t>TOTAL</t>
  </si>
  <si>
    <t>CUIL</t>
  </si>
  <si>
    <t>Apellido y Nombre</t>
  </si>
  <si>
    <t>Fecha de Ingreso</t>
  </si>
  <si>
    <t>Dias Trabajados</t>
  </si>
  <si>
    <t>MAX SUELDO</t>
  </si>
  <si>
    <t>DESCUENTOS</t>
  </si>
  <si>
    <t>VAC</t>
  </si>
  <si>
    <t>Liq. Final</t>
  </si>
  <si>
    <t>TOTAL DESCUENTOS</t>
  </si>
  <si>
    <t>NETO</t>
  </si>
  <si>
    <t>CATEG.</t>
  </si>
  <si>
    <t>ANTIG</t>
  </si>
  <si>
    <t>Sueldo Básico</t>
  </si>
  <si>
    <t>Total Sueldos</t>
  </si>
  <si>
    <t>Total ANR</t>
  </si>
  <si>
    <t>SAC Prop</t>
  </si>
  <si>
    <t>VAC Prop</t>
  </si>
  <si>
    <t>Indemnizacion</t>
  </si>
  <si>
    <t>COSTO DE EMISION</t>
  </si>
  <si>
    <t xml:space="preserve"> CAMIONEROS</t>
  </si>
  <si>
    <t>Seguro de Vida</t>
  </si>
  <si>
    <t>Contrib. Solidaria 3% s/ remun</t>
  </si>
  <si>
    <t>Aporte Empresario 2% s/bas</t>
  </si>
  <si>
    <t>Ap. Emp. Act. Cult 0,5% s/bas</t>
  </si>
  <si>
    <t xml:space="preserve"> Aporte Seguridad Social</t>
  </si>
  <si>
    <t>Aporte Obra Social</t>
  </si>
  <si>
    <t>Contribución Seguridad Social</t>
  </si>
  <si>
    <t>Seguro Vida Obligatorio</t>
  </si>
  <si>
    <t>Liq. final</t>
  </si>
  <si>
    <t>TOTALES</t>
  </si>
  <si>
    <t>Días pendientes</t>
  </si>
  <si>
    <t>AP Seguro  Sepelio 1,5% s/ remun</t>
  </si>
  <si>
    <t>HS. INFORMADAS</t>
  </si>
  <si>
    <t>MONTO</t>
  </si>
  <si>
    <t>Fer</t>
  </si>
  <si>
    <t>Accidente</t>
  </si>
  <si>
    <t>Enfermedad</t>
  </si>
  <si>
    <t>Total Horas</t>
  </si>
  <si>
    <t>Horas Normales</t>
  </si>
  <si>
    <t>Enfemedad</t>
  </si>
  <si>
    <t>Vac. Prop.</t>
  </si>
  <si>
    <t>Sac. Prop.</t>
  </si>
  <si>
    <t>2º QUINC</t>
  </si>
  <si>
    <t>1º QUINC</t>
  </si>
  <si>
    <t>MINEROS</t>
  </si>
  <si>
    <t>Contrib. EMPRESA 2% s/rem</t>
  </si>
  <si>
    <t>Aporte sind. AFIL. 2,5% s/rem</t>
  </si>
  <si>
    <t>1º QUINCENA</t>
  </si>
  <si>
    <t>Norm</t>
  </si>
  <si>
    <t>Convenio</t>
  </si>
  <si>
    <t>Categoria</t>
  </si>
  <si>
    <t>Sueldo / Jornal</t>
  </si>
  <si>
    <t>Vacaciones</t>
  </si>
  <si>
    <t>Total Hab. Sujeto a Ret.</t>
  </si>
  <si>
    <t>ASIG. NO REMUN.</t>
  </si>
  <si>
    <t>Liquidacion Final</t>
  </si>
  <si>
    <t>Total Haberes</t>
  </si>
  <si>
    <t>Feriado</t>
  </si>
  <si>
    <t>Lic. Espec.</t>
  </si>
  <si>
    <t>Suspension</t>
  </si>
  <si>
    <t>A cuenta fut. Aumento</t>
  </si>
  <si>
    <t>Dia del Gremio</t>
  </si>
  <si>
    <t>UOCRA</t>
  </si>
  <si>
    <t>2º QUINCENA</t>
  </si>
  <si>
    <t>Contrib 1% IERIC</t>
  </si>
  <si>
    <t>Contrib 1% FODECO</t>
  </si>
  <si>
    <t>FONDO DESEMPLEO</t>
  </si>
  <si>
    <t>FONDO DESEMPLEO MES DE EGRESO</t>
  </si>
  <si>
    <t>Asistencia Perfecta</t>
  </si>
  <si>
    <t>Total:</t>
  </si>
  <si>
    <t>Centro de Costo</t>
  </si>
  <si>
    <t>ADELANTOS / EMBARGOS</t>
  </si>
  <si>
    <t>SAC    NETO</t>
  </si>
  <si>
    <t>SEGURO UOCRA (aporte)</t>
  </si>
  <si>
    <t>CUOTA GREMIAL 2,5 %   (aporte)</t>
  </si>
  <si>
    <t>FICYS  (contr)</t>
  </si>
  <si>
    <t>FONDO DESEMPLEO  (contr)</t>
  </si>
  <si>
    <t>0043</t>
  </si>
  <si>
    <t>OK</t>
  </si>
  <si>
    <t>Asig. No. Remun</t>
  </si>
  <si>
    <t>Contrib. Pat. Sindical</t>
  </si>
  <si>
    <t>Contrib. Obra Social</t>
  </si>
  <si>
    <t>RETENCIONES SUSS</t>
  </si>
  <si>
    <t xml:space="preserve"> COD 0607</t>
  </si>
  <si>
    <t>Contrib Empresa Extraordinaria  ($90)</t>
  </si>
  <si>
    <t>TOTAL A PAGAR</t>
  </si>
  <si>
    <t>MOD. CTTO</t>
  </si>
  <si>
    <t>Dias Norm</t>
  </si>
  <si>
    <t>Dias VAC</t>
  </si>
  <si>
    <t>Faltas</t>
  </si>
  <si>
    <t>Total Dias</t>
  </si>
  <si>
    <t>MNI</t>
  </si>
  <si>
    <t>CONTROLAR BIEN!</t>
  </si>
  <si>
    <t>DECRETO 814/2001</t>
  </si>
  <si>
    <t>Remun Imponible</t>
  </si>
  <si>
    <t>Santa Fe - Resto de la Pcia</t>
  </si>
  <si>
    <t>COMPUTABLE</t>
  </si>
  <si>
    <t>Control</t>
  </si>
  <si>
    <t>Base Contrib REMUN 10</t>
  </si>
  <si>
    <t>TOTAL COMPUTABLE</t>
  </si>
  <si>
    <t>Contrib Res S.T. 96/05 1,5% s/bas</t>
  </si>
  <si>
    <t xml:space="preserve">Tarea diferencial </t>
  </si>
  <si>
    <t>Ley 27541</t>
  </si>
  <si>
    <t xml:space="preserve"> </t>
  </si>
  <si>
    <t>SINDICATO</t>
  </si>
  <si>
    <t>Dias</t>
  </si>
  <si>
    <t>COD 0602</t>
  </si>
  <si>
    <t>EMBARGO</t>
  </si>
  <si>
    <t>Basico p/ Sindicato</t>
  </si>
  <si>
    <t>2º domingo JUNIO</t>
  </si>
  <si>
    <t>DIA del gremio CARNE</t>
  </si>
  <si>
    <t>CARNE</t>
  </si>
  <si>
    <t>OP. INICIAL</t>
  </si>
  <si>
    <t>PEON PRINC</t>
  </si>
  <si>
    <t>SEMI CALIF</t>
  </si>
  <si>
    <t>CALIF</t>
  </si>
  <si>
    <t>ESPECIALIZ</t>
  </si>
  <si>
    <t>ESPEC 1º</t>
  </si>
  <si>
    <t>Faltas sin aviso / Suspension</t>
  </si>
  <si>
    <t>Indem</t>
  </si>
  <si>
    <t>Afiliado 3%</t>
  </si>
  <si>
    <t>No Afiliado 1,5%</t>
  </si>
  <si>
    <t>Federacion 2%</t>
  </si>
  <si>
    <t>Fija</t>
  </si>
  <si>
    <t>Descuentos</t>
  </si>
  <si>
    <t>NETOS</t>
  </si>
  <si>
    <t>Categorias</t>
  </si>
  <si>
    <t>Fernandez, Manuel Rodrigo</t>
  </si>
  <si>
    <t>ADM INICIAL</t>
  </si>
  <si>
    <t>Romero, Guillermo Norberto</t>
  </si>
  <si>
    <t>Alvarez, Ezequiel Martin</t>
  </si>
  <si>
    <t>Bisuela, Luciano Rafael</t>
  </si>
  <si>
    <t xml:space="preserve">Cabaña, Walter Javier </t>
  </si>
  <si>
    <t>Ceballos, Agustin Ariel</t>
  </si>
  <si>
    <t>Dominguez, Juan Horacio</t>
  </si>
  <si>
    <t xml:space="preserve">Frank, Axel Marcelo </t>
  </si>
  <si>
    <t>Gomez, Leonardo Ezequiel</t>
  </si>
  <si>
    <t>Grey, Jose Luis</t>
  </si>
  <si>
    <t>Lecussan, Maximiliano Anice</t>
  </si>
  <si>
    <t>Lescano, Gustavo Alberto</t>
  </si>
  <si>
    <t>Nardis, Nicolas Ezequiel</t>
  </si>
  <si>
    <t xml:space="preserve">Nuñez, Victor Alfredo </t>
  </si>
  <si>
    <t>Pastorino, Ivan Ezequiel</t>
  </si>
  <si>
    <t>Riquelme, Federico Roman</t>
  </si>
  <si>
    <t>Romero, Juan Pablo</t>
  </si>
  <si>
    <t>Saganias, Cesar Fabian</t>
  </si>
  <si>
    <t>Villaruel, Lisandro Gabriel</t>
  </si>
  <si>
    <t>Silva, Agustin Andres</t>
  </si>
  <si>
    <t>Valdez, Lazaro</t>
  </si>
  <si>
    <t>SEMI CALIF PROD</t>
  </si>
  <si>
    <t>OP INICIAL PROD</t>
  </si>
  <si>
    <t>PEON PRACTICO PROD</t>
  </si>
  <si>
    <t>ESPECIALIZADO ING</t>
  </si>
  <si>
    <t>LUN A VIER 5 HS SAB 4</t>
  </si>
  <si>
    <t>LUN A VIER 8 HS SAB 4</t>
  </si>
  <si>
    <t xml:space="preserve">Jornada </t>
  </si>
  <si>
    <t>A CUENTA FUT AUM</t>
  </si>
  <si>
    <t>NETO PACTADO</t>
  </si>
  <si>
    <t>COOP AGRICOLA GANADERA AARON CASTELLANOS</t>
  </si>
  <si>
    <t>CUIT 30-51545978-9</t>
  </si>
  <si>
    <t>EN MAYO!!!</t>
  </si>
  <si>
    <t>0015</t>
  </si>
  <si>
    <t>Alícuota 9,610%</t>
  </si>
  <si>
    <t>CUIT</t>
  </si>
  <si>
    <t>Total no rem</t>
  </si>
  <si>
    <t>NO REM</t>
  </si>
  <si>
    <t>rem</t>
  </si>
  <si>
    <t>no rem</t>
  </si>
  <si>
    <t>total</t>
  </si>
  <si>
    <t>SAC BRUTO rem</t>
  </si>
  <si>
    <t>SAC BRUTO no rem</t>
  </si>
  <si>
    <t>CONTROL HS</t>
  </si>
  <si>
    <t>CALCULO 1º SAC</t>
  </si>
  <si>
    <t>HS EXTRAS 50%</t>
  </si>
  <si>
    <t xml:space="preserve">RECIBO REM </t>
  </si>
  <si>
    <t>RECIBO NO REM</t>
  </si>
  <si>
    <t>DIF REM</t>
  </si>
  <si>
    <t>DIF NO REM</t>
  </si>
  <si>
    <t>HS EXTRAS 50% NO REM</t>
  </si>
  <si>
    <t>SAC NO REM</t>
  </si>
  <si>
    <t>CTA FUT AUMENTOS</t>
  </si>
  <si>
    <t>SOBRE SUELDO NETO</t>
  </si>
  <si>
    <t>COD 090</t>
  </si>
  <si>
    <t>horas extras 50%</t>
  </si>
  <si>
    <t>hs extras 50%</t>
  </si>
  <si>
    <t xml:space="preserve">Tabares Montenegro Robinson   </t>
  </si>
  <si>
    <t>rem 4 y 8</t>
  </si>
  <si>
    <t>23-63027424-9</t>
  </si>
  <si>
    <t>sueldo BASICO</t>
  </si>
  <si>
    <t>sueldos remunerativos</t>
  </si>
  <si>
    <t>sueldos no remunerativos</t>
  </si>
  <si>
    <t>sueldo neto</t>
  </si>
  <si>
    <t>Fecha baja</t>
  </si>
  <si>
    <t>Motivo</t>
  </si>
  <si>
    <t>CEBALLOS AGUSTIN</t>
  </si>
  <si>
    <t>RENUNCIA</t>
  </si>
  <si>
    <t>CASTILLO LEONEL</t>
  </si>
  <si>
    <t>DESPIDO PP</t>
  </si>
  <si>
    <t>ROMERO GUILLERMO</t>
  </si>
  <si>
    <t>20-42756736-3</t>
  </si>
  <si>
    <t>Silva Bismarck</t>
  </si>
  <si>
    <t>Gomez Leonardo</t>
  </si>
  <si>
    <t>VACACIONES 2022</t>
  </si>
  <si>
    <t>F.Ingreso</t>
  </si>
  <si>
    <t>Antig</t>
  </si>
  <si>
    <t>DÍAS VAC</t>
  </si>
  <si>
    <t>Dias Tomados</t>
  </si>
  <si>
    <t>FECHA INICIO</t>
  </si>
  <si>
    <t>FECHA FIN</t>
  </si>
  <si>
    <t>Vacaciones REMUN</t>
  </si>
  <si>
    <t>Vacaciones  NO REM</t>
  </si>
  <si>
    <t>VACACIONES NETO</t>
  </si>
  <si>
    <t>CALAMARI, GUSTAVO NESTOR</t>
  </si>
  <si>
    <t>SALEMME, MARCELO ADRIAN</t>
  </si>
  <si>
    <t>PAGANI, PABLO ALFONSO</t>
  </si>
  <si>
    <t>MATTAROLLO MARIA EDITH</t>
  </si>
  <si>
    <t>MINELLI AGUSTINA</t>
  </si>
  <si>
    <t>Días 2021</t>
  </si>
  <si>
    <t>FARFAN MARISA MABEL</t>
  </si>
  <si>
    <t>Días 2022</t>
  </si>
  <si>
    <t>20-41359487-2</t>
  </si>
  <si>
    <t>Baez, Juan Ramon</t>
  </si>
  <si>
    <t>TOTAL SEP</t>
  </si>
  <si>
    <t>A LOS 6 MESES PASA DE OP INICIAL A PEON PRACTICO</t>
  </si>
  <si>
    <t>Dia Gremio/ feriado</t>
  </si>
  <si>
    <t>Día del Gremio/ feriado</t>
  </si>
  <si>
    <t>APORTE ESPECIAL</t>
  </si>
  <si>
    <t>20-42326820-5</t>
  </si>
  <si>
    <t>Saldaña Ignacio</t>
  </si>
  <si>
    <t>OP INICIAL PASA A LOS 6 MESES A PEON PRACTICO</t>
  </si>
  <si>
    <t>SEMICALIFICADO PASA A CALIFICADO A LOS 6 MESES</t>
  </si>
  <si>
    <t>CALIF PROD</t>
  </si>
  <si>
    <t>20-23437917-9</t>
  </si>
  <si>
    <t>Ortolani Diego Osvaldo</t>
  </si>
  <si>
    <t>ENCARGADO</t>
  </si>
  <si>
    <t>SIN CCT</t>
  </si>
  <si>
    <t>DIF A ABONAR</t>
  </si>
  <si>
    <t>totaliza</t>
  </si>
  <si>
    <t>TOTAL OCT</t>
  </si>
  <si>
    <t>TOTAL NOV</t>
  </si>
  <si>
    <t>hs extras 100%</t>
  </si>
  <si>
    <t>horas extras 100%</t>
  </si>
  <si>
    <t>VALOR HORA</t>
  </si>
  <si>
    <t>TOTAL DIC</t>
  </si>
  <si>
    <t>TOTAL ENERO</t>
  </si>
  <si>
    <t>PRESENTISMO</t>
  </si>
  <si>
    <t>HOLISTOR</t>
  </si>
  <si>
    <t>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</si>
</sst>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;[Red]\-&quot;$&quot;\ #,##0"/>
    <numFmt numFmtId="165" formatCode="&quot;$&quot;\ #,##0.00;[Red]\-&quot;$&quot;\ #,##0.00"/>
    <numFmt numFmtId="166" formatCode="#,##0.00\ &quot;$&quot;;\-#,##0.00\ &quot;$&quot;"/>
    <numFmt numFmtId="167" formatCode="#,##0.00\ &quot;$&quot;;[Red]\-#,##0.00\ &quot;$&quot;"/>
    <numFmt numFmtId="168" formatCode="&quot;$&quot;#,##0;\-&quot;$&quot;#,##0"/>
    <numFmt numFmtId="169" formatCode="_-&quot;$&quot;* #,##0.00_-;\-&quot;$&quot;* #,##0.00_-;_-&quot;$&quot;* &quot;-&quot;??_-;_-@_-"/>
    <numFmt numFmtId="170" formatCode="##\-########\-0"/>
    <numFmt numFmtId="171" formatCode="&quot;$&quot;#,##0.00"/>
    <numFmt numFmtId="172" formatCode="0.0%"/>
    <numFmt numFmtId="173" formatCode="#,##0.00_ ;\-#,##0.00\ "/>
    <numFmt numFmtId="174" formatCode="_-* #,##0.00\ [$-1]_-;\-* #,##0.00\ [$-1]_-;_-* &quot;-&quot;??\ [$-1]_-"/>
    <numFmt numFmtId="175" formatCode="_ [$$-2C0A]\ * #,##0.00_ ;_ [$$-2C0A]\ * \-#,##0.00_ ;_ [$$-2C0A]\ * &quot;-&quot;??_ ;_ @_ "/>
    <numFmt numFmtId="176" formatCode="#,##0.0"/>
    <numFmt numFmtId="177" formatCode="0000"/>
    <numFmt numFmtId="178" formatCode="_ [$$-2C0A]\ * #,##0.0_ ;_ [$$-2C0A]\ * \-#,##0.0_ ;_ [$$-2C0A]\ * &quot;-&quot;?_ ;_ @_ "/>
    <numFmt numFmtId="179" formatCode="dd/mm/yyyy;@"/>
    <numFmt numFmtId="180" formatCode="#,##0.00_ ;[Red]\-#,##0.00\ "/>
    <numFmt numFmtId="181" formatCode="0.000"/>
    <numFmt numFmtId="182" formatCode="_ * #,##0_ ;_ * \-#,##0_ ;_ * &quot;-&quot;??_ ;_ @_ "/>
    <numFmt numFmtId="183" formatCode="#,##0.000_ ;\-#,##0.000\ "/>
    <numFmt numFmtId="184" formatCode="#,##0.0000_ ;\-#,##0.0000\ "/>
  </numFmts>
  <fonts count="7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0"/>
      <color indexed="8"/>
      <name val="Book Antiqua"/>
      <family val="1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6"/>
      <color indexed="8"/>
      <name val="Arial"/>
      <family val="2"/>
    </font>
    <font>
      <b/>
      <u/>
      <sz val="1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8"/>
      <name val="MS Sans Serif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rgb="FF00008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lightTrellis">
        <fgColor theme="0" tint="-0.34998626667073579"/>
        <bgColor auto="1"/>
      </patternFill>
    </fill>
    <fill>
      <patternFill patternType="solid">
        <fgColor rgb="FF9999FF"/>
        <bgColor indexed="64"/>
      </patternFill>
    </fill>
    <fill>
      <patternFill patternType="solid">
        <fgColor rgb="FF00FF99"/>
        <bgColor indexed="64"/>
      </patternFill>
    </fill>
    <fill>
      <patternFill patternType="lightTrellis">
        <fgColor theme="0" tint="-0.34998626667073579"/>
        <bgColor rgb="FF00FF99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lightUp"/>
    </fill>
    <fill>
      <patternFill patternType="lightUp">
        <bgColor rgb="FF00FF9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3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7" fillId="6" borderId="0" applyNumberFormat="0" applyBorder="0" applyAlignment="0" applyProtection="0"/>
    <xf numFmtId="0" fontId="38" fillId="11" borderId="1" applyNumberFormat="0" applyAlignment="0" applyProtection="0"/>
    <xf numFmtId="0" fontId="39" fillId="12" borderId="2" applyNumberFormat="0" applyAlignment="0" applyProtection="0"/>
    <xf numFmtId="0" fontId="40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42" fillId="7" borderId="1" applyNumberFormat="0" applyAlignment="0" applyProtection="0"/>
    <xf numFmtId="174" fontId="19" fillId="0" borderId="0" applyFont="0" applyFill="0" applyBorder="0" applyAlignment="0" applyProtection="0"/>
    <xf numFmtId="0" fontId="43" fillId="17" borderId="0" applyNumberFormat="0" applyBorder="0" applyAlignment="0" applyProtection="0"/>
    <xf numFmtId="40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4" fillId="7" borderId="0" applyNumberFormat="0" applyBorder="0" applyAlignment="0" applyProtection="0"/>
    <xf numFmtId="0" fontId="2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33" fillId="0" borderId="0"/>
    <xf numFmtId="0" fontId="2" fillId="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11" borderId="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41" fillId="0" borderId="8" applyNumberFormat="0" applyFill="0" applyAlignment="0" applyProtection="0"/>
    <xf numFmtId="0" fontId="51" fillId="0" borderId="9" applyNumberFormat="0" applyFill="0" applyAlignment="0" applyProtection="0"/>
    <xf numFmtId="0" fontId="55" fillId="0" borderId="0"/>
    <xf numFmtId="0" fontId="57" fillId="0" borderId="0"/>
    <xf numFmtId="40" fontId="58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19" fillId="0" borderId="0"/>
    <xf numFmtId="0" fontId="1" fillId="0" borderId="0"/>
    <xf numFmtId="0" fontId="2" fillId="0" borderId="0"/>
    <xf numFmtId="0" fontId="19" fillId="4" borderId="4" applyNumberFormat="0" applyFon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550">
    <xf numFmtId="0" fontId="0" fillId="0" borderId="0" xfId="0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left"/>
    </xf>
    <xf numFmtId="171" fontId="4" fillId="0" borderId="0" xfId="0" applyNumberFormat="1" applyFont="1" applyFill="1" applyBorder="1"/>
    <xf numFmtId="171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Fill="1" applyBorder="1"/>
    <xf numFmtId="9" fontId="4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5" fillId="0" borderId="0" xfId="0" applyNumberFormat="1" applyFont="1" applyFill="1" applyBorder="1"/>
    <xf numFmtId="0" fontId="4" fillId="0" borderId="0" xfId="0" applyFont="1" applyBorder="1"/>
    <xf numFmtId="172" fontId="4" fillId="0" borderId="0" xfId="69" applyNumberFormat="1" applyFont="1" applyFill="1" applyBorder="1" applyAlignment="1">
      <alignment horizontal="center"/>
    </xf>
    <xf numFmtId="9" fontId="4" fillId="0" borderId="0" xfId="69" applyNumberFormat="1" applyFont="1" applyFill="1" applyBorder="1" applyAlignment="1">
      <alignment horizontal="center"/>
    </xf>
    <xf numFmtId="172" fontId="0" fillId="0" borderId="0" xfId="0" applyNumberFormat="1" applyFill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/>
    <xf numFmtId="14" fontId="6" fillId="0" borderId="0" xfId="0" applyNumberFormat="1" applyFont="1"/>
    <xf numFmtId="2" fontId="6" fillId="0" borderId="0" xfId="0" applyNumberFormat="1" applyFont="1"/>
    <xf numFmtId="0" fontId="12" fillId="0" borderId="0" xfId="0" applyFont="1" applyFill="1" applyBorder="1"/>
    <xf numFmtId="4" fontId="12" fillId="0" borderId="0" xfId="0" applyNumberFormat="1" applyFont="1" applyFill="1" applyBorder="1"/>
    <xf numFmtId="170" fontId="7" fillId="0" borderId="0" xfId="0" quotePrefix="1" applyNumberFormat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13" fillId="0" borderId="0" xfId="0" applyFont="1" applyFill="1" applyBorder="1"/>
    <xf numFmtId="0" fontId="6" fillId="0" borderId="0" xfId="0" applyFont="1" applyBorder="1"/>
    <xf numFmtId="0" fontId="10" fillId="0" borderId="0" xfId="0" applyFont="1"/>
    <xf numFmtId="0" fontId="10" fillId="0" borderId="0" xfId="0" quotePrefix="1" applyFont="1" applyAlignment="1">
      <alignment horizontal="left"/>
    </xf>
    <xf numFmtId="0" fontId="11" fillId="0" borderId="0" xfId="0" applyFont="1"/>
    <xf numFmtId="2" fontId="11" fillId="0" borderId="0" xfId="0" applyNumberFormat="1" applyFont="1" applyBorder="1"/>
    <xf numFmtId="0" fontId="17" fillId="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170" fontId="19" fillId="0" borderId="14" xfId="0" applyNumberFormat="1" applyFont="1" applyFill="1" applyBorder="1" applyAlignment="1">
      <alignment horizontal="center" vertical="center"/>
    </xf>
    <xf numFmtId="14" fontId="19" fillId="0" borderId="15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vertical="center"/>
    </xf>
    <xf numFmtId="4" fontId="19" fillId="0" borderId="13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4" fontId="4" fillId="20" borderId="1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170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0" fillId="0" borderId="0" xfId="0" applyFill="1" applyBorder="1"/>
    <xf numFmtId="0" fontId="19" fillId="0" borderId="0" xfId="0" applyFont="1"/>
    <xf numFmtId="9" fontId="4" fillId="0" borderId="0" xfId="69" applyFont="1" applyFill="1" applyBorder="1" applyAlignment="1">
      <alignment horizontal="right"/>
    </xf>
    <xf numFmtId="2" fontId="4" fillId="0" borderId="0" xfId="0" applyNumberFormat="1" applyFont="1"/>
    <xf numFmtId="0" fontId="52" fillId="0" borderId="0" xfId="0" applyFont="1" applyAlignment="1">
      <alignment horizontal="center" vertical="center"/>
    </xf>
    <xf numFmtId="4" fontId="21" fillId="0" borderId="10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4" fontId="13" fillId="0" borderId="0" xfId="0" applyNumberFormat="1" applyFont="1" applyFill="1" applyBorder="1"/>
    <xf numFmtId="0" fontId="18" fillId="0" borderId="0" xfId="0" applyFont="1" applyFill="1" applyAlignment="1">
      <alignment horizontal="right" vertical="center"/>
    </xf>
    <xf numFmtId="0" fontId="17" fillId="0" borderId="0" xfId="0" applyFont="1" applyAlignment="1"/>
    <xf numFmtId="0" fontId="9" fillId="0" borderId="0" xfId="0" applyFont="1" applyAlignment="1"/>
    <xf numFmtId="0" fontId="19" fillId="19" borderId="10" xfId="0" applyFont="1" applyFill="1" applyBorder="1" applyAlignment="1">
      <alignment horizontal="center" vertical="center"/>
    </xf>
    <xf numFmtId="17" fontId="19" fillId="19" borderId="10" xfId="0" applyNumberFormat="1" applyFont="1" applyFill="1" applyBorder="1" applyAlignment="1">
      <alignment horizontal="center" vertical="center" wrapText="1"/>
    </xf>
    <xf numFmtId="0" fontId="21" fillId="19" borderId="10" xfId="0" applyFont="1" applyFill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47" applyFont="1" applyFill="1" applyAlignment="1">
      <alignment vertical="center"/>
    </xf>
    <xf numFmtId="14" fontId="19" fillId="0" borderId="10" xfId="0" applyNumberFormat="1" applyFont="1" applyFill="1" applyBorder="1" applyAlignment="1">
      <alignment horizontal="center" vertical="center"/>
    </xf>
    <xf numFmtId="17" fontId="21" fillId="18" borderId="10" xfId="0" applyNumberFormat="1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0" fontId="3" fillId="26" borderId="0" xfId="62" applyFont="1" applyFill="1" applyAlignment="1">
      <alignment horizontal="center"/>
    </xf>
    <xf numFmtId="14" fontId="7" fillId="26" borderId="0" xfId="62" applyNumberFormat="1" applyFont="1" applyFill="1" applyAlignment="1">
      <alignment horizontal="center" vertical="center"/>
    </xf>
    <xf numFmtId="4" fontId="19" fillId="25" borderId="10" xfId="62" applyNumberFormat="1" applyFont="1" applyFill="1" applyBorder="1" applyAlignment="1">
      <alignment horizontal="center" vertical="center"/>
    </xf>
    <xf numFmtId="176" fontId="19" fillId="0" borderId="10" xfId="62" applyNumberFormat="1" applyFont="1" applyFill="1" applyBorder="1" applyAlignment="1">
      <alignment horizontal="center" vertical="center"/>
    </xf>
    <xf numFmtId="173" fontId="19" fillId="0" borderId="10" xfId="37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17" fontId="27" fillId="0" borderId="0" xfId="0" applyNumberFormat="1" applyFont="1" applyFill="1" applyAlignment="1">
      <alignment vertical="center"/>
    </xf>
    <xf numFmtId="40" fontId="21" fillId="23" borderId="10" xfId="33" applyFont="1" applyFill="1" applyBorder="1" applyAlignment="1">
      <alignment horizontal="center" vertical="center"/>
    </xf>
    <xf numFmtId="0" fontId="19" fillId="0" borderId="0" xfId="62" applyFont="1" applyAlignment="1">
      <alignment horizontal="center"/>
    </xf>
    <xf numFmtId="0" fontId="19" fillId="0" borderId="0" xfId="62" applyFont="1"/>
    <xf numFmtId="14" fontId="19" fillId="0" borderId="0" xfId="62" applyNumberFormat="1" applyFont="1" applyFill="1" applyBorder="1"/>
    <xf numFmtId="0" fontId="7" fillId="18" borderId="10" xfId="0" applyFont="1" applyFill="1" applyBorder="1" applyAlignment="1">
      <alignment horizontal="center" vertical="center" wrapText="1"/>
    </xf>
    <xf numFmtId="0" fontId="21" fillId="18" borderId="10" xfId="0" applyFont="1" applyFill="1" applyBorder="1" applyAlignment="1">
      <alignment horizontal="center" vertical="center" wrapText="1"/>
    </xf>
    <xf numFmtId="0" fontId="34" fillId="0" borderId="0" xfId="0" quotePrefix="1" applyFont="1" applyFill="1" applyBorder="1"/>
    <xf numFmtId="0" fontId="19" fillId="0" borderId="0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22" fillId="0" borderId="0" xfId="62" quotePrefix="1" applyFont="1" applyFill="1" applyAlignment="1">
      <alignment vertical="center"/>
    </xf>
    <xf numFmtId="0" fontId="8" fillId="18" borderId="10" xfId="62" applyFont="1" applyFill="1" applyBorder="1" applyAlignment="1">
      <alignment horizontal="center" vertical="center" wrapText="1"/>
    </xf>
    <xf numFmtId="4" fontId="8" fillId="18" borderId="10" xfId="62" applyNumberFormat="1" applyFont="1" applyFill="1" applyBorder="1" applyAlignment="1">
      <alignment horizontal="center" vertical="center" wrapText="1"/>
    </xf>
    <xf numFmtId="173" fontId="14" fillId="32" borderId="10" xfId="37" applyNumberFormat="1" applyFont="1" applyFill="1" applyBorder="1" applyAlignment="1">
      <alignment horizontal="right" vertical="center"/>
    </xf>
    <xf numFmtId="173" fontId="14" fillId="0" borderId="10" xfId="37" applyNumberFormat="1" applyFont="1" applyFill="1" applyBorder="1" applyAlignment="1">
      <alignment horizontal="right" vertical="center"/>
    </xf>
    <xf numFmtId="173" fontId="14" fillId="18" borderId="10" xfId="37" applyNumberFormat="1" applyFont="1" applyFill="1" applyBorder="1" applyAlignment="1">
      <alignment horizontal="right" vertical="center"/>
    </xf>
    <xf numFmtId="173" fontId="19" fillId="0" borderId="0" xfId="62" applyNumberFormat="1" applyFont="1" applyFill="1"/>
    <xf numFmtId="0" fontId="19" fillId="0" borderId="0" xfId="62" applyFont="1" applyFill="1"/>
    <xf numFmtId="0" fontId="14" fillId="0" borderId="0" xfId="62" applyFont="1" applyFill="1" applyBorder="1" applyAlignment="1">
      <alignment horizontal="center"/>
    </xf>
    <xf numFmtId="0" fontId="4" fillId="0" borderId="0" xfId="62" quotePrefix="1" applyFont="1" applyFill="1" applyAlignment="1">
      <alignment horizontal="left"/>
    </xf>
    <xf numFmtId="0" fontId="4" fillId="0" borderId="0" xfId="62" applyFont="1" applyFill="1"/>
    <xf numFmtId="4" fontId="19" fillId="0" borderId="0" xfId="62" applyNumberFormat="1" applyFont="1" applyFill="1"/>
    <xf numFmtId="2" fontId="19" fillId="0" borderId="0" xfId="62" applyNumberFormat="1" applyFont="1" applyFill="1"/>
    <xf numFmtId="0" fontId="19" fillId="0" borderId="0" xfId="62" applyFont="1" applyFill="1" applyBorder="1"/>
    <xf numFmtId="0" fontId="14" fillId="0" borderId="0" xfId="62" quotePrefix="1" applyFont="1" applyFill="1" applyAlignment="1">
      <alignment horizontal="left"/>
    </xf>
    <xf numFmtId="0" fontId="19" fillId="0" borderId="0" xfId="62" quotePrefix="1" applyFont="1" applyFill="1" applyAlignment="1">
      <alignment horizontal="left"/>
    </xf>
    <xf numFmtId="0" fontId="14" fillId="0" borderId="0" xfId="62" applyFont="1" applyFill="1"/>
    <xf numFmtId="0" fontId="19" fillId="0" borderId="0" xfId="62" applyFont="1" applyFill="1" applyAlignment="1">
      <alignment horizontal="left"/>
    </xf>
    <xf numFmtId="0" fontId="19" fillId="0" borderId="0" xfId="62" applyFont="1" applyFill="1" applyAlignment="1">
      <alignment horizontal="center"/>
    </xf>
    <xf numFmtId="0" fontId="19" fillId="0" borderId="0" xfId="62" quotePrefix="1" applyFont="1" applyFill="1" applyBorder="1" applyAlignment="1">
      <alignment horizontal="left"/>
    </xf>
    <xf numFmtId="0" fontId="3" fillId="0" borderId="0" xfId="62" quotePrefix="1" applyFont="1" applyFill="1" applyAlignment="1">
      <alignment horizontal="left"/>
    </xf>
    <xf numFmtId="0" fontId="19" fillId="20" borderId="10" xfId="62" applyFont="1" applyFill="1" applyBorder="1"/>
    <xf numFmtId="0" fontId="3" fillId="0" borderId="0" xfId="62" applyFont="1" applyFill="1" applyAlignment="1">
      <alignment horizontal="center"/>
    </xf>
    <xf numFmtId="0" fontId="14" fillId="0" borderId="0" xfId="62" applyFont="1" applyFill="1" applyAlignment="1">
      <alignment horizontal="center"/>
    </xf>
    <xf numFmtId="0" fontId="19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left"/>
    </xf>
    <xf numFmtId="181" fontId="19" fillId="0" borderId="0" xfId="62" applyNumberFormat="1" applyFont="1" applyFill="1"/>
    <xf numFmtId="4" fontId="13" fillId="0" borderId="0" xfId="62" applyNumberFormat="1" applyFont="1" applyFill="1" applyBorder="1"/>
    <xf numFmtId="2" fontId="13" fillId="0" borderId="0" xfId="62" applyNumberFormat="1" applyFont="1" applyFill="1" applyBorder="1"/>
    <xf numFmtId="4" fontId="19" fillId="0" borderId="0" xfId="62" applyNumberFormat="1" applyFont="1"/>
    <xf numFmtId="2" fontId="19" fillId="0" borderId="0" xfId="62" applyNumberFormat="1" applyFont="1"/>
    <xf numFmtId="0" fontId="52" fillId="0" borderId="0" xfId="62" applyFont="1" applyFill="1"/>
    <xf numFmtId="0" fontId="13" fillId="0" borderId="0" xfId="62" applyFont="1"/>
    <xf numFmtId="17" fontId="28" fillId="24" borderId="16" xfId="0" applyNumberFormat="1" applyFont="1" applyFill="1" applyBorder="1" applyAlignment="1">
      <alignment horizontal="center" vertical="center"/>
    </xf>
    <xf numFmtId="17" fontId="21" fillId="32" borderId="10" xfId="0" applyNumberFormat="1" applyFont="1" applyFill="1" applyBorder="1" applyAlignment="1">
      <alignment horizontal="center" vertical="center" wrapText="1"/>
    </xf>
    <xf numFmtId="38" fontId="19" fillId="0" borderId="10" xfId="33" applyNumberFormat="1" applyFont="1" applyFill="1" applyBorder="1" applyAlignment="1">
      <alignment horizontal="center" vertical="center"/>
    </xf>
    <xf numFmtId="0" fontId="22" fillId="0" borderId="0" xfId="0" applyFont="1" applyAlignment="1"/>
    <xf numFmtId="14" fontId="21" fillId="0" borderId="1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3" fontId="19" fillId="28" borderId="10" xfId="0" applyNumberFormat="1" applyFont="1" applyFill="1" applyBorder="1" applyAlignment="1">
      <alignment horizontal="center" vertical="center"/>
    </xf>
    <xf numFmtId="4" fontId="21" fillId="35" borderId="10" xfId="0" applyNumberFormat="1" applyFont="1" applyFill="1" applyBorder="1" applyAlignment="1">
      <alignment vertical="center"/>
    </xf>
    <xf numFmtId="17" fontId="14" fillId="34" borderId="10" xfId="0" applyNumberFormat="1" applyFont="1" applyFill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7" fillId="3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4" fillId="38" borderId="1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7" xfId="0" applyFont="1" applyFill="1" applyBorder="1" applyAlignment="1">
      <alignment horizontal="center" vertical="center" wrapText="1"/>
    </xf>
    <xf numFmtId="165" fontId="21" fillId="23" borderId="10" xfId="37" applyNumberFormat="1" applyFont="1" applyFill="1" applyBorder="1" applyAlignment="1">
      <alignment vertical="center"/>
    </xf>
    <xf numFmtId="0" fontId="8" fillId="35" borderId="10" xfId="62" applyFont="1" applyFill="1" applyBorder="1" applyAlignment="1">
      <alignment horizontal="center" vertical="center" wrapText="1"/>
    </xf>
    <xf numFmtId="4" fontId="24" fillId="41" borderId="26" xfId="0" applyNumberFormat="1" applyFont="1" applyFill="1" applyBorder="1" applyAlignment="1">
      <alignment horizontal="right" vertical="center"/>
    </xf>
    <xf numFmtId="4" fontId="21" fillId="37" borderId="10" xfId="0" applyNumberFormat="1" applyFont="1" applyFill="1" applyBorder="1" applyAlignment="1">
      <alignment vertical="center"/>
    </xf>
    <xf numFmtId="4" fontId="20" fillId="42" borderId="10" xfId="0" applyNumberFormat="1" applyFont="1" applyFill="1" applyBorder="1" applyAlignment="1">
      <alignment vertical="center"/>
    </xf>
    <xf numFmtId="0" fontId="21" fillId="42" borderId="10" xfId="0" applyFont="1" applyFill="1" applyBorder="1" applyAlignment="1">
      <alignment horizontal="center" vertical="center"/>
    </xf>
    <xf numFmtId="170" fontId="21" fillId="42" borderId="10" xfId="0" applyNumberFormat="1" applyFont="1" applyFill="1" applyBorder="1" applyAlignment="1">
      <alignment horizontal="center" vertical="center"/>
    </xf>
    <xf numFmtId="0" fontId="21" fillId="42" borderId="10" xfId="0" applyFont="1" applyFill="1" applyBorder="1" applyAlignment="1">
      <alignment horizontal="left" vertical="center"/>
    </xf>
    <xf numFmtId="14" fontId="21" fillId="42" borderId="11" xfId="0" applyNumberFormat="1" applyFont="1" applyFill="1" applyBorder="1" applyAlignment="1">
      <alignment horizontal="center" vertical="center"/>
    </xf>
    <xf numFmtId="3" fontId="53" fillId="42" borderId="10" xfId="0" applyNumberFormat="1" applyFont="1" applyFill="1" applyBorder="1" applyAlignment="1">
      <alignment horizontal="center" vertical="center"/>
    </xf>
    <xf numFmtId="3" fontId="21" fillId="42" borderId="10" xfId="0" applyNumberFormat="1" applyFont="1" applyFill="1" applyBorder="1" applyAlignment="1">
      <alignment horizontal="center" vertical="center"/>
    </xf>
    <xf numFmtId="4" fontId="24" fillId="41" borderId="10" xfId="0" applyNumberFormat="1" applyFont="1" applyFill="1" applyBorder="1" applyAlignment="1">
      <alignment vertical="center"/>
    </xf>
    <xf numFmtId="1" fontId="14" fillId="20" borderId="10" xfId="62" applyNumberFormat="1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8" fillId="18" borderId="10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3" fillId="40" borderId="10" xfId="0" applyFont="1" applyFill="1" applyBorder="1" applyAlignment="1">
      <alignment horizontal="center" vertical="center" wrapText="1"/>
    </xf>
    <xf numFmtId="0" fontId="3" fillId="40" borderId="17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/>
    </xf>
    <xf numFmtId="0" fontId="3" fillId="19" borderId="10" xfId="0" applyFont="1" applyFill="1" applyBorder="1" applyAlignment="1">
      <alignment horizontal="center" vertical="center" wrapText="1"/>
    </xf>
    <xf numFmtId="0" fontId="19" fillId="0" borderId="10" xfId="62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horizontal="center"/>
    </xf>
    <xf numFmtId="176" fontId="19" fillId="44" borderId="10" xfId="62" applyNumberFormat="1" applyFont="1" applyFill="1" applyBorder="1" applyAlignment="1">
      <alignment horizontal="center" vertical="center"/>
    </xf>
    <xf numFmtId="173" fontId="19" fillId="44" borderId="10" xfId="37" applyNumberFormat="1" applyFont="1" applyFill="1" applyBorder="1" applyAlignment="1">
      <alignment horizontal="right" vertical="center"/>
    </xf>
    <xf numFmtId="0" fontId="14" fillId="0" borderId="0" xfId="0" quotePrefix="1" applyFont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4" fontId="19" fillId="44" borderId="1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vertical="center"/>
    </xf>
    <xf numFmtId="0" fontId="14" fillId="0" borderId="0" xfId="62" applyFont="1" applyFill="1" applyBorder="1" applyAlignment="1">
      <alignment horizontal="center" vertical="center"/>
    </xf>
    <xf numFmtId="0" fontId="28" fillId="0" borderId="0" xfId="62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3" fillId="0" borderId="31" xfId="0" applyFont="1" applyFill="1" applyBorder="1" applyAlignment="1"/>
    <xf numFmtId="0" fontId="13" fillId="0" borderId="32" xfId="0" applyFont="1" applyFill="1" applyBorder="1" applyAlignment="1"/>
    <xf numFmtId="0" fontId="13" fillId="0" borderId="30" xfId="0" applyFont="1" applyFill="1" applyBorder="1" applyAlignment="1"/>
    <xf numFmtId="4" fontId="2" fillId="0" borderId="0" xfId="0" applyNumberFormat="1" applyFont="1" applyFill="1" applyBorder="1"/>
    <xf numFmtId="4" fontId="18" fillId="22" borderId="16" xfId="37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18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20" xfId="0" applyFont="1" applyFill="1" applyBorder="1"/>
    <xf numFmtId="0" fontId="2" fillId="0" borderId="22" xfId="0" applyFont="1" applyFill="1" applyBorder="1"/>
    <xf numFmtId="180" fontId="13" fillId="0" borderId="0" xfId="0" applyNumberFormat="1" applyFont="1" applyFill="1" applyBorder="1"/>
    <xf numFmtId="0" fontId="19" fillId="44" borderId="10" xfId="0" applyFont="1" applyFill="1" applyBorder="1" applyAlignment="1">
      <alignment horizontal="center" vertical="center"/>
    </xf>
    <xf numFmtId="173" fontId="14" fillId="20" borderId="10" xfId="37" applyNumberFormat="1" applyFont="1" applyFill="1" applyBorder="1" applyAlignment="1">
      <alignment horizontal="right" vertical="center"/>
    </xf>
    <xf numFmtId="0" fontId="60" fillId="30" borderId="16" xfId="62" applyFont="1" applyFill="1" applyBorder="1"/>
    <xf numFmtId="175" fontId="14" fillId="39" borderId="10" xfId="62" applyNumberFormat="1" applyFont="1" applyFill="1" applyBorder="1" applyAlignment="1">
      <alignment horizontal="center" vertical="center"/>
    </xf>
    <xf numFmtId="176" fontId="14" fillId="35" borderId="10" xfId="62" applyNumberFormat="1" applyFont="1" applyFill="1" applyBorder="1" applyAlignment="1">
      <alignment horizontal="center" vertical="center"/>
    </xf>
    <xf numFmtId="40" fontId="21" fillId="20" borderId="10" xfId="33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/>
    <xf numFmtId="4" fontId="19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left"/>
    </xf>
    <xf numFmtId="4" fontId="14" fillId="33" borderId="23" xfId="62" applyNumberFormat="1" applyFont="1" applyFill="1" applyBorder="1" applyAlignment="1">
      <alignment horizontal="center" vertical="center"/>
    </xf>
    <xf numFmtId="40" fontId="19" fillId="18" borderId="10" xfId="33" applyFont="1" applyFill="1" applyBorder="1" applyAlignment="1">
      <alignment horizontal="right" vertical="center"/>
    </xf>
    <xf numFmtId="40" fontId="19" fillId="34" borderId="10" xfId="33" applyFont="1" applyFill="1" applyBorder="1" applyAlignment="1">
      <alignment horizontal="right" vertical="center"/>
    </xf>
    <xf numFmtId="170" fontId="19" fillId="44" borderId="10" xfId="0" applyNumberFormat="1" applyFont="1" applyFill="1" applyBorder="1" applyAlignment="1">
      <alignment horizontal="center" vertical="center"/>
    </xf>
    <xf numFmtId="0" fontId="14" fillId="44" borderId="10" xfId="46" applyFont="1" applyFill="1" applyBorder="1" applyAlignment="1">
      <alignment horizontal="center" vertical="center"/>
    </xf>
    <xf numFmtId="14" fontId="54" fillId="44" borderId="10" xfId="0" applyNumberFormat="1" applyFont="1" applyFill="1" applyBorder="1" applyAlignment="1">
      <alignment horizontal="center" vertical="center"/>
    </xf>
    <xf numFmtId="3" fontId="19" fillId="44" borderId="10" xfId="62" applyNumberFormat="1" applyFont="1" applyFill="1" applyBorder="1" applyAlignment="1">
      <alignment horizontal="center" vertical="center"/>
    </xf>
    <xf numFmtId="4" fontId="19" fillId="44" borderId="10" xfId="62" applyNumberFormat="1" applyFont="1" applyFill="1" applyBorder="1" applyAlignment="1">
      <alignment vertical="center"/>
    </xf>
    <xf numFmtId="3" fontId="19" fillId="44" borderId="13" xfId="0" applyNumberFormat="1" applyFont="1" applyFill="1" applyBorder="1" applyAlignment="1">
      <alignment horizontal="center" vertical="center"/>
    </xf>
    <xf numFmtId="173" fontId="54" fillId="0" borderId="0" xfId="37" applyNumberFormat="1" applyFont="1" applyFill="1" applyBorder="1" applyAlignment="1">
      <alignment horizontal="right" vertical="center"/>
    </xf>
    <xf numFmtId="14" fontId="54" fillId="44" borderId="11" xfId="0" applyNumberFormat="1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14" fillId="28" borderId="34" xfId="0" applyFont="1" applyFill="1" applyBorder="1" applyAlignment="1">
      <alignment vertical="center" wrapText="1"/>
    </xf>
    <xf numFmtId="0" fontId="19" fillId="44" borderId="34" xfId="0" applyFont="1" applyFill="1" applyBorder="1" applyAlignment="1">
      <alignment horizontal="center" vertical="center"/>
    </xf>
    <xf numFmtId="0" fontId="14" fillId="38" borderId="11" xfId="0" applyFont="1" applyFill="1" applyBorder="1" applyAlignment="1">
      <alignment horizontal="center" vertical="center" wrapText="1"/>
    </xf>
    <xf numFmtId="0" fontId="21" fillId="42" borderId="12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182" fontId="14" fillId="35" borderId="48" xfId="33" applyNumberFormat="1" applyFont="1" applyFill="1" applyBorder="1" applyAlignment="1">
      <alignment horizontal="center" vertical="center"/>
    </xf>
    <xf numFmtId="0" fontId="14" fillId="28" borderId="44" xfId="0" applyFont="1" applyFill="1" applyBorder="1" applyAlignment="1">
      <alignment horizontal="center" vertical="center" wrapText="1"/>
    </xf>
    <xf numFmtId="0" fontId="14" fillId="28" borderId="45" xfId="0" applyFont="1" applyFill="1" applyBorder="1" applyAlignment="1">
      <alignment horizontal="center" vertical="center" wrapText="1"/>
    </xf>
    <xf numFmtId="0" fontId="14" fillId="28" borderId="46" xfId="0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vertical="center"/>
    </xf>
    <xf numFmtId="0" fontId="19" fillId="0" borderId="0" xfId="48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 wrapText="1"/>
    </xf>
    <xf numFmtId="4" fontId="26" fillId="0" borderId="24" xfId="0" applyNumberFormat="1" applyFont="1" applyFill="1" applyBorder="1" applyAlignment="1">
      <alignment vertical="center"/>
    </xf>
    <xf numFmtId="4" fontId="7" fillId="0" borderId="16" xfId="0" applyNumberFormat="1" applyFont="1" applyFill="1" applyBorder="1" applyAlignment="1">
      <alignment vertical="center"/>
    </xf>
    <xf numFmtId="4" fontId="7" fillId="29" borderId="16" xfId="0" applyNumberFormat="1" applyFont="1" applyFill="1" applyBorder="1" applyAlignment="1">
      <alignment vertical="center"/>
    </xf>
    <xf numFmtId="4" fontId="7" fillId="45" borderId="16" xfId="0" applyNumberFormat="1" applyFont="1" applyFill="1" applyBorder="1" applyAlignment="1"/>
    <xf numFmtId="40" fontId="19" fillId="0" borderId="0" xfId="33" applyNumberFormat="1" applyFont="1" applyFill="1" applyBorder="1"/>
    <xf numFmtId="4" fontId="25" fillId="0" borderId="0" xfId="47" applyNumberFormat="1" applyFont="1" applyAlignment="1">
      <alignment vertical="center"/>
    </xf>
    <xf numFmtId="0" fontId="19" fillId="0" borderId="0" xfId="47" applyFont="1" applyAlignment="1">
      <alignment vertical="center"/>
    </xf>
    <xf numFmtId="4" fontId="19" fillId="0" borderId="0" xfId="47" applyNumberFormat="1" applyFont="1" applyAlignment="1">
      <alignment vertical="center"/>
    </xf>
    <xf numFmtId="0" fontId="19" fillId="0" borderId="27" xfId="47" applyFont="1" applyBorder="1" applyAlignment="1">
      <alignment vertical="center"/>
    </xf>
    <xf numFmtId="0" fontId="14" fillId="0" borderId="0" xfId="47" applyFont="1" applyAlignment="1">
      <alignment vertical="center"/>
    </xf>
    <xf numFmtId="2" fontId="14" fillId="0" borderId="0" xfId="47" applyNumberFormat="1" applyFont="1" applyAlignment="1">
      <alignment vertical="center"/>
    </xf>
    <xf numFmtId="0" fontId="19" fillId="29" borderId="0" xfId="47" applyFont="1" applyFill="1" applyAlignment="1">
      <alignment vertical="center"/>
    </xf>
    <xf numFmtId="4" fontId="19" fillId="29" borderId="0" xfId="47" applyNumberFormat="1" applyFont="1" applyFill="1" applyAlignment="1">
      <alignment vertical="center"/>
    </xf>
    <xf numFmtId="0" fontId="14" fillId="0" borderId="0" xfId="47" applyFont="1" applyFill="1" applyAlignment="1">
      <alignment vertical="center"/>
    </xf>
    <xf numFmtId="173" fontId="19" fillId="0" borderId="0" xfId="62" applyNumberFormat="1" applyFont="1"/>
    <xf numFmtId="40" fontId="14" fillId="0" borderId="0" xfId="33" applyFont="1" applyAlignment="1">
      <alignment vertical="center"/>
    </xf>
    <xf numFmtId="0" fontId="3" fillId="18" borderId="28" xfId="0" applyFont="1" applyFill="1" applyBorder="1" applyAlignment="1">
      <alignment horizontal="center" vertical="center" wrapText="1"/>
    </xf>
    <xf numFmtId="4" fontId="25" fillId="46" borderId="29" xfId="0" applyNumberFormat="1" applyFont="1" applyFill="1" applyBorder="1" applyAlignment="1">
      <alignment vertical="center"/>
    </xf>
    <xf numFmtId="4" fontId="63" fillId="46" borderId="23" xfId="0" applyNumberFormat="1" applyFont="1" applyFill="1" applyBorder="1" applyAlignment="1">
      <alignment vertical="center"/>
    </xf>
    <xf numFmtId="0" fontId="13" fillId="46" borderId="16" xfId="0" applyFont="1" applyFill="1" applyBorder="1"/>
    <xf numFmtId="4" fontId="24" fillId="0" borderId="12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/>
    <xf numFmtId="0" fontId="8" fillId="0" borderId="10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0" fontId="59" fillId="0" borderId="19" xfId="0" applyFont="1" applyFill="1" applyBorder="1" applyAlignment="1">
      <alignment horizontal="center"/>
    </xf>
    <xf numFmtId="2" fontId="19" fillId="0" borderId="0" xfId="62" applyNumberFormat="1" applyFont="1" applyFill="1" applyBorder="1"/>
    <xf numFmtId="4" fontId="7" fillId="0" borderId="0" xfId="0" applyNumberFormat="1" applyFont="1" applyFill="1" applyBorder="1" applyAlignment="1">
      <alignment vertical="center"/>
    </xf>
    <xf numFmtId="4" fontId="24" fillId="47" borderId="10" xfId="0" applyNumberFormat="1" applyFont="1" applyFill="1" applyBorder="1" applyAlignment="1">
      <alignment horizontal="right" vertical="center"/>
    </xf>
    <xf numFmtId="4" fontId="24" fillId="48" borderId="10" xfId="0" applyNumberFormat="1" applyFont="1" applyFill="1" applyBorder="1" applyAlignment="1">
      <alignment horizontal="right" vertical="center"/>
    </xf>
    <xf numFmtId="4" fontId="19" fillId="48" borderId="10" xfId="0" applyNumberFormat="1" applyFont="1" applyFill="1" applyBorder="1" applyAlignment="1">
      <alignment horizontal="right" vertical="center"/>
    </xf>
    <xf numFmtId="0" fontId="60" fillId="0" borderId="0" xfId="62" applyFont="1" applyFill="1"/>
    <xf numFmtId="0" fontId="63" fillId="0" borderId="0" xfId="62" applyFont="1" applyFill="1"/>
    <xf numFmtId="3" fontId="52" fillId="0" borderId="0" xfId="62" applyNumberFormat="1" applyFont="1" applyFill="1"/>
    <xf numFmtId="4" fontId="63" fillId="0" borderId="10" xfId="0" applyNumberFormat="1" applyFont="1" applyFill="1" applyBorder="1" applyAlignment="1">
      <alignment vertical="center"/>
    </xf>
    <xf numFmtId="4" fontId="63" fillId="23" borderId="10" xfId="0" applyNumberFormat="1" applyFont="1" applyFill="1" applyBorder="1" applyAlignment="1">
      <alignment vertical="center"/>
    </xf>
    <xf numFmtId="40" fontId="19" fillId="1" borderId="10" xfId="33" applyFont="1" applyFill="1" applyBorder="1" applyAlignment="1">
      <alignment horizontal="right" vertical="center"/>
    </xf>
    <xf numFmtId="0" fontId="19" fillId="49" borderId="0" xfId="62" applyFont="1" applyFill="1"/>
    <xf numFmtId="0" fontId="19" fillId="32" borderId="10" xfId="0" applyFont="1" applyFill="1" applyBorder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4" fontId="14" fillId="23" borderId="10" xfId="0" applyNumberFormat="1" applyFont="1" applyFill="1" applyBorder="1" applyAlignment="1">
      <alignment vertical="center"/>
    </xf>
    <xf numFmtId="0" fontId="14" fillId="23" borderId="1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/>
    <xf numFmtId="180" fontId="2" fillId="0" borderId="0" xfId="0" applyNumberFormat="1" applyFont="1" applyFill="1" applyBorder="1"/>
    <xf numFmtId="40" fontId="54" fillId="0" borderId="10" xfId="33" applyFont="1" applyBorder="1" applyAlignment="1">
      <alignment horizontal="right" vertical="center"/>
    </xf>
    <xf numFmtId="40" fontId="54" fillId="0" borderId="10" xfId="33" applyFont="1" applyFill="1" applyBorder="1" applyAlignment="1">
      <alignment horizontal="right" vertical="center"/>
    </xf>
    <xf numFmtId="40" fontId="13" fillId="0" borderId="0" xfId="33" applyFont="1" applyFill="1" applyBorder="1"/>
    <xf numFmtId="40" fontId="19" fillId="0" borderId="0" xfId="0" applyNumberFormat="1" applyFont="1" applyFill="1" applyBorder="1"/>
    <xf numFmtId="40" fontId="14" fillId="44" borderId="10" xfId="33" applyFont="1" applyFill="1" applyBorder="1" applyAlignment="1">
      <alignment horizontal="right" vertical="center"/>
    </xf>
    <xf numFmtId="40" fontId="4" fillId="0" borderId="0" xfId="33" applyFont="1" applyFill="1" applyBorder="1" applyAlignment="1"/>
    <xf numFmtId="0" fontId="19" fillId="0" borderId="10" xfId="47" applyFont="1" applyFill="1" applyBorder="1" applyAlignment="1">
      <alignment horizontal="left" vertical="center"/>
    </xf>
    <xf numFmtId="14" fontId="19" fillId="0" borderId="10" xfId="47" applyNumberFormat="1" applyFont="1" applyFill="1" applyBorder="1" applyAlignment="1">
      <alignment horizontal="center" vertical="center"/>
    </xf>
    <xf numFmtId="0" fontId="19" fillId="0" borderId="10" xfId="47" applyFont="1" applyFill="1" applyBorder="1" applyAlignment="1">
      <alignment horizontal="center" vertical="center"/>
    </xf>
    <xf numFmtId="0" fontId="14" fillId="0" borderId="10" xfId="47" applyFont="1" applyFill="1" applyBorder="1" applyAlignment="1">
      <alignment horizontal="center" vertical="center"/>
    </xf>
    <xf numFmtId="14" fontId="54" fillId="42" borderId="10" xfId="47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4" fontId="19" fillId="35" borderId="13" xfId="0" applyNumberFormat="1" applyFont="1" applyFill="1" applyBorder="1" applyAlignment="1">
      <alignment vertical="center"/>
    </xf>
    <xf numFmtId="0" fontId="8" fillId="18" borderId="10" xfId="62" applyFont="1" applyFill="1" applyBorder="1" applyAlignment="1">
      <alignment horizontal="center" vertical="center" wrapText="1"/>
    </xf>
    <xf numFmtId="4" fontId="8" fillId="18" borderId="10" xfId="6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Continuous"/>
    </xf>
    <xf numFmtId="0" fontId="28" fillId="0" borderId="0" xfId="0" quotePrefix="1" applyFont="1" applyFill="1" applyBorder="1"/>
    <xf numFmtId="4" fontId="4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4" fontId="54" fillId="0" borderId="15" xfId="0" applyNumberFormat="1" applyFont="1" applyFill="1" applyBorder="1" applyAlignment="1">
      <alignment horizontal="center" vertical="center"/>
    </xf>
    <xf numFmtId="4" fontId="20" fillId="40" borderId="13" xfId="0" applyNumberFormat="1" applyFont="1" applyFill="1" applyBorder="1" applyAlignment="1">
      <alignment vertical="center"/>
    </xf>
    <xf numFmtId="40" fontId="19" fillId="0" borderId="10" xfId="33" applyFont="1" applyFill="1" applyBorder="1" applyAlignment="1">
      <alignment vertical="center"/>
    </xf>
    <xf numFmtId="2" fontId="19" fillId="21" borderId="10" xfId="0" applyNumberFormat="1" applyFont="1" applyFill="1" applyBorder="1" applyAlignment="1">
      <alignment vertical="center"/>
    </xf>
    <xf numFmtId="4" fontId="14" fillId="18" borderId="10" xfId="0" applyNumberFormat="1" applyFont="1" applyFill="1" applyBorder="1" applyAlignment="1">
      <alignment vertical="center"/>
    </xf>
    <xf numFmtId="4" fontId="19" fillId="22" borderId="10" xfId="0" applyNumberFormat="1" applyFont="1" applyFill="1" applyBorder="1" applyAlignment="1">
      <alignment vertical="center"/>
    </xf>
    <xf numFmtId="4" fontId="19" fillId="37" borderId="10" xfId="0" applyNumberFormat="1" applyFont="1" applyFill="1" applyBorder="1" applyAlignment="1">
      <alignment vertical="center"/>
    </xf>
    <xf numFmtId="0" fontId="14" fillId="42" borderId="10" xfId="0" applyFont="1" applyFill="1" applyBorder="1" applyAlignment="1">
      <alignment horizontal="center" vertical="center"/>
    </xf>
    <xf numFmtId="170" fontId="14" fillId="42" borderId="10" xfId="0" applyNumberFormat="1" applyFont="1" applyFill="1" applyBorder="1" applyAlignment="1">
      <alignment horizontal="center" vertical="center"/>
    </xf>
    <xf numFmtId="0" fontId="14" fillId="42" borderId="10" xfId="0" applyFont="1" applyFill="1" applyBorder="1" applyAlignment="1">
      <alignment horizontal="left" vertical="center"/>
    </xf>
    <xf numFmtId="14" fontId="14" fillId="42" borderId="11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3" fillId="0" borderId="0" xfId="0" applyFont="1" applyFill="1" applyBorder="1" applyAlignment="1">
      <alignment horizontal="left"/>
    </xf>
    <xf numFmtId="17" fontId="65" fillId="24" borderId="16" xfId="0" applyNumberFormat="1" applyFont="1" applyFill="1" applyBorder="1" applyAlignment="1">
      <alignment horizontal="center" vertical="center"/>
    </xf>
    <xf numFmtId="0" fontId="59" fillId="0" borderId="0" xfId="0" applyFont="1"/>
    <xf numFmtId="175" fontId="19" fillId="0" borderId="10" xfId="0" applyNumberFormat="1" applyFont="1" applyFill="1" applyBorder="1" applyAlignment="1">
      <alignment horizontal="left" vertical="center" wrapText="1"/>
    </xf>
    <xf numFmtId="3" fontId="20" fillId="0" borderId="13" xfId="0" applyNumberFormat="1" applyFont="1" applyFill="1" applyBorder="1" applyAlignment="1">
      <alignment horizontal="center" vertical="center"/>
    </xf>
    <xf numFmtId="40" fontId="19" fillId="21" borderId="10" xfId="33" applyFont="1" applyFill="1" applyBorder="1" applyAlignment="1">
      <alignment vertical="center"/>
    </xf>
    <xf numFmtId="4" fontId="19" fillId="43" borderId="10" xfId="0" applyNumberFormat="1" applyFont="1" applyFill="1" applyBorder="1" applyAlignment="1">
      <alignment vertical="center"/>
    </xf>
    <xf numFmtId="40" fontId="4" fillId="0" borderId="0" xfId="33" applyFont="1"/>
    <xf numFmtId="40" fontId="4" fillId="0" borderId="0" xfId="33" applyFont="1" applyBorder="1"/>
    <xf numFmtId="40" fontId="4" fillId="0" borderId="0" xfId="33" applyFont="1" applyFill="1" applyBorder="1"/>
    <xf numFmtId="2" fontId="4" fillId="0" borderId="0" xfId="0" applyNumberFormat="1" applyFont="1" applyBorder="1"/>
    <xf numFmtId="40" fontId="4" fillId="0" borderId="0" xfId="0" applyNumberFormat="1" applyFont="1"/>
    <xf numFmtId="40" fontId="4" fillId="0" borderId="0" xfId="0" applyNumberFormat="1" applyFont="1" applyFill="1" applyBorder="1"/>
    <xf numFmtId="16" fontId="4" fillId="0" borderId="0" xfId="0" applyNumberFormat="1" applyFont="1"/>
    <xf numFmtId="180" fontId="4" fillId="0" borderId="0" xfId="0" applyNumberFormat="1" applyFont="1"/>
    <xf numFmtId="40" fontId="19" fillId="0" borderId="14" xfId="33" applyFont="1" applyFill="1" applyBorder="1" applyAlignment="1">
      <alignment horizontal="center" vertical="center"/>
    </xf>
    <xf numFmtId="0" fontId="3" fillId="45" borderId="10" xfId="0" applyFont="1" applyFill="1" applyBorder="1" applyAlignment="1">
      <alignment horizontal="center" vertical="center" wrapText="1"/>
    </xf>
    <xf numFmtId="4" fontId="24" fillId="45" borderId="10" xfId="0" applyNumberFormat="1" applyFont="1" applyFill="1" applyBorder="1" applyAlignment="1">
      <alignment vertical="center"/>
    </xf>
    <xf numFmtId="173" fontId="19" fillId="36" borderId="10" xfId="37" applyNumberFormat="1" applyFont="1" applyFill="1" applyBorder="1" applyAlignment="1">
      <alignment horizontal="right" vertical="center"/>
    </xf>
    <xf numFmtId="0" fontId="19" fillId="50" borderId="10" xfId="0" applyFont="1" applyFill="1" applyBorder="1" applyAlignment="1">
      <alignment horizontal="center" vertical="center"/>
    </xf>
    <xf numFmtId="170" fontId="19" fillId="50" borderId="14" xfId="0" applyNumberFormat="1" applyFont="1" applyFill="1" applyBorder="1" applyAlignment="1">
      <alignment horizontal="center" vertical="center"/>
    </xf>
    <xf numFmtId="0" fontId="19" fillId="50" borderId="13" xfId="0" applyFont="1" applyFill="1" applyBorder="1" applyAlignment="1">
      <alignment horizontal="center" vertical="center"/>
    </xf>
    <xf numFmtId="175" fontId="19" fillId="50" borderId="10" xfId="0" applyNumberFormat="1" applyFont="1" applyFill="1" applyBorder="1" applyAlignment="1">
      <alignment horizontal="left" vertical="center" wrapText="1"/>
    </xf>
    <xf numFmtId="14" fontId="19" fillId="50" borderId="15" xfId="0" applyNumberFormat="1" applyFont="1" applyFill="1" applyBorder="1" applyAlignment="1">
      <alignment horizontal="center" vertical="center"/>
    </xf>
    <xf numFmtId="3" fontId="19" fillId="50" borderId="13" xfId="0" applyNumberFormat="1" applyFont="1" applyFill="1" applyBorder="1" applyAlignment="1">
      <alignment horizontal="center" vertical="center"/>
    </xf>
    <xf numFmtId="0" fontId="19" fillId="50" borderId="34" xfId="0" applyFont="1" applyFill="1" applyBorder="1" applyAlignment="1">
      <alignment horizontal="center" vertical="center"/>
    </xf>
    <xf numFmtId="182" fontId="14" fillId="50" borderId="48" xfId="33" applyNumberFormat="1" applyFont="1" applyFill="1" applyBorder="1" applyAlignment="1">
      <alignment horizontal="center" vertical="center"/>
    </xf>
    <xf numFmtId="40" fontId="19" fillId="50" borderId="14" xfId="33" applyFont="1" applyFill="1" applyBorder="1" applyAlignment="1">
      <alignment horizontal="center" vertical="center"/>
    </xf>
    <xf numFmtId="4" fontId="21" fillId="50" borderId="10" xfId="0" applyNumberFormat="1" applyFont="1" applyFill="1" applyBorder="1" applyAlignment="1">
      <alignment vertical="center"/>
    </xf>
    <xf numFmtId="4" fontId="63" fillId="50" borderId="10" xfId="0" applyNumberFormat="1" applyFont="1" applyFill="1" applyBorder="1" applyAlignment="1">
      <alignment vertical="center"/>
    </xf>
    <xf numFmtId="0" fontId="13" fillId="50" borderId="0" xfId="0" applyFont="1" applyFill="1" applyBorder="1"/>
    <xf numFmtId="4" fontId="24" fillId="51" borderId="10" xfId="0" applyNumberFormat="1" applyFont="1" applyFill="1" applyBorder="1" applyAlignment="1">
      <alignment horizontal="right" vertical="center"/>
    </xf>
    <xf numFmtId="4" fontId="19" fillId="51" borderId="10" xfId="0" applyNumberFormat="1" applyFont="1" applyFill="1" applyBorder="1" applyAlignment="1">
      <alignment horizontal="right" vertical="center"/>
    </xf>
    <xf numFmtId="4" fontId="24" fillId="50" borderId="26" xfId="0" applyNumberFormat="1" applyFont="1" applyFill="1" applyBorder="1" applyAlignment="1">
      <alignment horizontal="right" vertical="center"/>
    </xf>
    <xf numFmtId="4" fontId="24" fillId="50" borderId="12" xfId="0" applyNumberFormat="1" applyFont="1" applyFill="1" applyBorder="1" applyAlignment="1">
      <alignment horizontal="right" vertical="center"/>
    </xf>
    <xf numFmtId="4" fontId="24" fillId="50" borderId="10" xfId="0" applyNumberFormat="1" applyFont="1" applyFill="1" applyBorder="1" applyAlignment="1">
      <alignment vertical="center"/>
    </xf>
    <xf numFmtId="4" fontId="19" fillId="50" borderId="10" xfId="0" applyNumberFormat="1" applyFont="1" applyFill="1" applyBorder="1" applyAlignment="1">
      <alignment vertical="center"/>
    </xf>
    <xf numFmtId="0" fontId="12" fillId="50" borderId="0" xfId="0" applyFont="1" applyFill="1" applyBorder="1"/>
    <xf numFmtId="0" fontId="14" fillId="0" borderId="13" xfId="0" applyFont="1" applyFill="1" applyBorder="1" applyAlignment="1">
      <alignment horizontal="center" vertical="center"/>
    </xf>
    <xf numFmtId="3" fontId="19" fillId="0" borderId="10" xfId="62" applyNumberFormat="1" applyFont="1" applyFill="1" applyBorder="1" applyAlignment="1">
      <alignment horizontal="center" vertical="center"/>
    </xf>
    <xf numFmtId="3" fontId="19" fillId="28" borderId="10" xfId="62" applyNumberFormat="1" applyFont="1" applyFill="1" applyBorder="1" applyAlignment="1">
      <alignment horizontal="center" vertical="center"/>
    </xf>
    <xf numFmtId="3" fontId="19" fillId="28" borderId="13" xfId="0" applyNumberFormat="1" applyFont="1" applyFill="1" applyBorder="1" applyAlignment="1">
      <alignment horizontal="center" vertical="center"/>
    </xf>
    <xf numFmtId="3" fontId="19" fillId="50" borderId="47" xfId="0" applyNumberFormat="1" applyFont="1" applyFill="1" applyBorder="1" applyAlignment="1">
      <alignment horizontal="center" vertical="center"/>
    </xf>
    <xf numFmtId="40" fontId="19" fillId="0" borderId="0" xfId="33" applyFont="1" applyFill="1" applyAlignment="1">
      <alignment vertical="center"/>
    </xf>
    <xf numFmtId="3" fontId="14" fillId="40" borderId="13" xfId="0" applyNumberFormat="1" applyFont="1" applyFill="1" applyBorder="1" applyAlignment="1">
      <alignment horizontal="center" vertical="center"/>
    </xf>
    <xf numFmtId="38" fontId="19" fillId="52" borderId="10" xfId="33" applyNumberFormat="1" applyFont="1" applyFill="1" applyBorder="1" applyAlignment="1">
      <alignment vertical="center"/>
    </xf>
    <xf numFmtId="173" fontId="19" fillId="0" borderId="0" xfId="62" applyNumberFormat="1" applyFont="1" applyFill="1" applyAlignment="1">
      <alignment vertical="center"/>
    </xf>
    <xf numFmtId="0" fontId="19" fillId="0" borderId="0" xfId="62" applyFont="1" applyFill="1" applyAlignment="1">
      <alignment vertical="center"/>
    </xf>
    <xf numFmtId="173" fontId="19" fillId="0" borderId="0" xfId="0" applyNumberFormat="1" applyFont="1" applyFill="1" applyAlignment="1">
      <alignment vertical="center"/>
    </xf>
    <xf numFmtId="40" fontId="12" fillId="0" borderId="0" xfId="33" applyFont="1" applyFill="1" applyBorder="1"/>
    <xf numFmtId="0" fontId="67" fillId="18" borderId="10" xfId="0" applyFont="1" applyFill="1" applyBorder="1" applyAlignment="1">
      <alignment horizontal="center" vertical="center" wrapText="1"/>
    </xf>
    <xf numFmtId="0" fontId="68" fillId="18" borderId="10" xfId="0" applyFont="1" applyFill="1" applyBorder="1" applyAlignment="1">
      <alignment horizontal="center" vertical="center" wrapText="1"/>
    </xf>
    <xf numFmtId="0" fontId="69" fillId="0" borderId="0" xfId="0" applyFont="1"/>
    <xf numFmtId="170" fontId="69" fillId="44" borderId="10" xfId="0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center" vertical="center"/>
    </xf>
    <xf numFmtId="14" fontId="69" fillId="0" borderId="10" xfId="0" applyNumberFormat="1" applyFont="1" applyFill="1" applyBorder="1" applyAlignment="1">
      <alignment horizontal="center" vertical="center"/>
    </xf>
    <xf numFmtId="40" fontId="69" fillId="0" borderId="10" xfId="33" applyFont="1" applyBorder="1"/>
    <xf numFmtId="9" fontId="19" fillId="0" borderId="0" xfId="62" applyNumberFormat="1" applyFont="1" applyFill="1" applyAlignment="1">
      <alignment horizontal="center"/>
    </xf>
    <xf numFmtId="173" fontId="54" fillId="44" borderId="10" xfId="37" applyNumberFormat="1" applyFont="1" applyFill="1" applyBorder="1" applyAlignment="1">
      <alignment horizontal="right" vertical="center"/>
    </xf>
    <xf numFmtId="183" fontId="19" fillId="0" borderId="0" xfId="62" applyNumberFormat="1" applyFont="1" applyFill="1" applyAlignment="1">
      <alignment vertical="center"/>
    </xf>
    <xf numFmtId="184" fontId="19" fillId="0" borderId="0" xfId="62" applyNumberFormat="1" applyFont="1" applyFill="1" applyAlignment="1">
      <alignment vertical="center"/>
    </xf>
    <xf numFmtId="0" fontId="54" fillId="28" borderId="10" xfId="0" applyFont="1" applyFill="1" applyBorder="1" applyAlignment="1">
      <alignment vertical="center"/>
    </xf>
    <xf numFmtId="40" fontId="14" fillId="28" borderId="10" xfId="33" applyFont="1" applyFill="1" applyBorder="1" applyAlignment="1">
      <alignment horizontal="right" vertical="center"/>
    </xf>
    <xf numFmtId="173" fontId="19" fillId="36" borderId="0" xfId="62" applyNumberFormat="1" applyFont="1" applyFill="1" applyAlignment="1">
      <alignment vertical="center"/>
    </xf>
    <xf numFmtId="17" fontId="14" fillId="18" borderId="10" xfId="0" applyNumberFormat="1" applyFont="1" applyFill="1" applyBorder="1" applyAlignment="1">
      <alignment horizontal="center" vertical="center"/>
    </xf>
    <xf numFmtId="38" fontId="56" fillId="0" borderId="0" xfId="0" applyNumberFormat="1" applyFont="1" applyFill="1" applyBorder="1" applyAlignment="1">
      <alignment vertical="center"/>
    </xf>
    <xf numFmtId="40" fontId="14" fillId="0" borderId="10" xfId="33" applyFont="1" applyBorder="1" applyAlignment="1">
      <alignment horizontal="right" vertical="center"/>
    </xf>
    <xf numFmtId="40" fontId="53" fillId="0" borderId="10" xfId="33" applyFont="1" applyBorder="1" applyAlignment="1">
      <alignment horizontal="right" vertical="center"/>
    </xf>
    <xf numFmtId="40" fontId="14" fillId="0" borderId="10" xfId="33" applyFont="1" applyFill="1" applyBorder="1" applyAlignment="1">
      <alignment horizontal="right" vertical="center"/>
    </xf>
    <xf numFmtId="40" fontId="19" fillId="0" borderId="0" xfId="33" applyFont="1" applyAlignment="1">
      <alignment vertical="center"/>
    </xf>
    <xf numFmtId="180" fontId="19" fillId="0" borderId="0" xfId="0" applyNumberFormat="1" applyFont="1" applyAlignment="1">
      <alignment vertical="center"/>
    </xf>
    <xf numFmtId="40" fontId="19" fillId="32" borderId="10" xfId="33" applyFont="1" applyFill="1" applyBorder="1" applyAlignment="1">
      <alignment vertical="center"/>
    </xf>
    <xf numFmtId="1" fontId="19" fillId="0" borderId="0" xfId="62" applyNumberFormat="1" applyFont="1" applyFill="1"/>
    <xf numFmtId="0" fontId="8" fillId="18" borderId="12" xfId="62" applyFont="1" applyFill="1" applyBorder="1" applyAlignment="1">
      <alignment horizontal="center" vertical="center" wrapText="1"/>
    </xf>
    <xf numFmtId="0" fontId="8" fillId="18" borderId="14" xfId="62" applyFont="1" applyFill="1" applyBorder="1" applyAlignment="1">
      <alignment horizontal="center" vertical="center"/>
    </xf>
    <xf numFmtId="0" fontId="8" fillId="18" borderId="10" xfId="62" applyFont="1" applyFill="1" applyBorder="1" applyAlignment="1">
      <alignment horizontal="center" vertical="center" wrapText="1"/>
    </xf>
    <xf numFmtId="0" fontId="66" fillId="18" borderId="13" xfId="62" applyFont="1" applyFill="1" applyBorder="1" applyAlignment="1">
      <alignment horizontal="center" vertical="center" wrapText="1"/>
    </xf>
    <xf numFmtId="0" fontId="66" fillId="18" borderId="12" xfId="62" applyFont="1" applyFill="1" applyBorder="1" applyAlignment="1">
      <alignment horizontal="center" vertical="center" wrapText="1"/>
    </xf>
    <xf numFmtId="40" fontId="19" fillId="0" borderId="10" xfId="33" applyFont="1" applyBorder="1" applyAlignment="1">
      <alignment vertical="center"/>
    </xf>
    <xf numFmtId="0" fontId="14" fillId="53" borderId="10" xfId="0" applyFont="1" applyFill="1" applyBorder="1" applyAlignment="1">
      <alignment horizontal="center" vertical="center"/>
    </xf>
    <xf numFmtId="180" fontId="19" fillId="0" borderId="10" xfId="0" applyNumberFormat="1" applyFont="1" applyBorder="1" applyAlignment="1">
      <alignment vertical="center"/>
    </xf>
    <xf numFmtId="175" fontId="69" fillId="0" borderId="10" xfId="0" applyNumberFormat="1" applyFont="1" applyFill="1" applyBorder="1" applyAlignment="1">
      <alignment horizontal="left" vertical="center" wrapText="1"/>
    </xf>
    <xf numFmtId="3" fontId="69" fillId="45" borderId="10" xfId="0" applyNumberFormat="1" applyFont="1" applyFill="1" applyBorder="1" applyAlignment="1">
      <alignment vertical="center"/>
    </xf>
    <xf numFmtId="0" fontId="69" fillId="0" borderId="10" xfId="0" applyFont="1" applyBorder="1"/>
    <xf numFmtId="17" fontId="69" fillId="0" borderId="0" xfId="0" applyNumberFormat="1" applyFont="1"/>
    <xf numFmtId="40" fontId="69" fillId="0" borderId="0" xfId="33" applyFont="1"/>
    <xf numFmtId="180" fontId="69" fillId="0" borderId="0" xfId="0" applyNumberFormat="1" applyFont="1"/>
    <xf numFmtId="0" fontId="8" fillId="18" borderId="12" xfId="62" applyFont="1" applyFill="1" applyBorder="1" applyAlignment="1">
      <alignment horizontal="center" vertical="center" wrapText="1"/>
    </xf>
    <xf numFmtId="0" fontId="8" fillId="18" borderId="10" xfId="62" applyFont="1" applyFill="1" applyBorder="1" applyAlignment="1">
      <alignment horizontal="center" vertical="center" wrapText="1"/>
    </xf>
    <xf numFmtId="0" fontId="8" fillId="18" borderId="14" xfId="62" applyFont="1" applyFill="1" applyBorder="1" applyAlignment="1">
      <alignment horizontal="center" vertical="center"/>
    </xf>
    <xf numFmtId="40" fontId="8" fillId="54" borderId="0" xfId="33" applyFont="1" applyFill="1" applyBorder="1"/>
    <xf numFmtId="40" fontId="2" fillId="0" borderId="0" xfId="33" applyFont="1" applyFill="1" applyBorder="1"/>
    <xf numFmtId="40" fontId="69" fillId="0" borderId="10" xfId="33" applyFont="1" applyFill="1" applyBorder="1" applyAlignment="1">
      <alignment horizontal="center" vertical="center"/>
    </xf>
    <xf numFmtId="0" fontId="72" fillId="0" borderId="10" xfId="0" applyFont="1" applyBorder="1"/>
    <xf numFmtId="14" fontId="72" fillId="0" borderId="10" xfId="0" applyNumberFormat="1" applyFont="1" applyBorder="1"/>
    <xf numFmtId="0" fontId="19" fillId="0" borderId="12" xfId="0" applyFont="1" applyFill="1" applyBorder="1" applyAlignment="1">
      <alignment horizontal="center" vertical="center"/>
    </xf>
    <xf numFmtId="40" fontId="69" fillId="0" borderId="0" xfId="0" applyNumberFormat="1" applyFont="1"/>
    <xf numFmtId="0" fontId="22" fillId="0" borderId="0" xfId="47" applyFont="1"/>
    <xf numFmtId="0" fontId="19" fillId="0" borderId="0" xfId="47" applyFont="1" applyAlignment="1">
      <alignment horizontal="center"/>
    </xf>
    <xf numFmtId="0" fontId="19" fillId="0" borderId="0" xfId="47" applyFont="1"/>
    <xf numFmtId="0" fontId="14" fillId="0" borderId="0" xfId="47" applyFont="1"/>
    <xf numFmtId="14" fontId="14" fillId="20" borderId="10" xfId="47" applyNumberFormat="1" applyFont="1" applyFill="1" applyBorder="1" applyAlignment="1">
      <alignment horizontal="center"/>
    </xf>
    <xf numFmtId="0" fontId="19" fillId="0" borderId="0" xfId="47" applyFont="1" applyFill="1" applyBorder="1" applyAlignment="1">
      <alignment horizontal="center"/>
    </xf>
    <xf numFmtId="0" fontId="14" fillId="0" borderId="0" xfId="47" quotePrefix="1" applyFont="1" applyBorder="1" applyAlignment="1">
      <alignment horizontal="left"/>
    </xf>
    <xf numFmtId="0" fontId="19" fillId="0" borderId="0" xfId="47" applyFont="1" applyBorder="1"/>
    <xf numFmtId="0" fontId="19" fillId="0" borderId="0" xfId="47" applyFont="1" applyBorder="1" applyAlignment="1">
      <alignment horizontal="center"/>
    </xf>
    <xf numFmtId="0" fontId="19" fillId="0" borderId="0" xfId="47" applyFont="1" applyFill="1" applyBorder="1"/>
    <xf numFmtId="0" fontId="19" fillId="0" borderId="10" xfId="47" applyNumberFormat="1" applyFont="1" applyFill="1" applyBorder="1" applyAlignment="1">
      <alignment horizontal="center" vertical="center"/>
    </xf>
    <xf numFmtId="0" fontId="14" fillId="31" borderId="10" xfId="47" applyFont="1" applyFill="1" applyBorder="1" applyAlignment="1">
      <alignment horizontal="center" vertical="center"/>
    </xf>
    <xf numFmtId="0" fontId="14" fillId="56" borderId="10" xfId="47" applyFont="1" applyFill="1" applyBorder="1" applyAlignment="1">
      <alignment horizontal="center" vertical="center"/>
    </xf>
    <xf numFmtId="165" fontId="19" fillId="0" borderId="10" xfId="37" applyNumberFormat="1" applyFont="1" applyFill="1" applyBorder="1" applyAlignment="1">
      <alignment horizontal="center" vertical="center"/>
    </xf>
    <xf numFmtId="164" fontId="14" fillId="0" borderId="10" xfId="37" applyNumberFormat="1" applyFont="1" applyFill="1" applyBorder="1" applyAlignment="1">
      <alignment horizontal="center" vertical="center"/>
    </xf>
    <xf numFmtId="165" fontId="14" fillId="0" borderId="10" xfId="37" applyNumberFormat="1" applyFont="1" applyFill="1" applyBorder="1" applyAlignment="1">
      <alignment horizontal="center" vertical="center"/>
    </xf>
    <xf numFmtId="16" fontId="19" fillId="0" borderId="10" xfId="47" applyNumberFormat="1" applyFont="1" applyFill="1" applyBorder="1" applyAlignment="1">
      <alignment horizontal="center" vertical="center"/>
    </xf>
    <xf numFmtId="0" fontId="19" fillId="0" borderId="10" xfId="47" applyFont="1" applyBorder="1" applyAlignment="1">
      <alignment horizontal="center"/>
    </xf>
    <xf numFmtId="17" fontId="14" fillId="0" borderId="0" xfId="62" applyNumberFormat="1" applyFont="1" applyFill="1" applyBorder="1"/>
    <xf numFmtId="1" fontId="14" fillId="0" borderId="0" xfId="62" applyNumberFormat="1" applyFont="1"/>
    <xf numFmtId="0" fontId="19" fillId="0" borderId="0" xfId="47" applyFont="1" applyFill="1" applyBorder="1" applyAlignment="1">
      <alignment horizontal="left" vertical="center"/>
    </xf>
    <xf numFmtId="14" fontId="19" fillId="0" borderId="0" xfId="47" applyNumberFormat="1" applyFont="1" applyFill="1" applyBorder="1" applyAlignment="1">
      <alignment horizontal="center" vertical="center"/>
    </xf>
    <xf numFmtId="0" fontId="14" fillId="0" borderId="0" xfId="62" applyFont="1" applyFill="1" applyBorder="1" applyAlignment="1">
      <alignment horizontal="right"/>
    </xf>
    <xf numFmtId="1" fontId="14" fillId="0" borderId="0" xfId="62" applyNumberFormat="1" applyFont="1" applyFill="1" applyBorder="1" applyAlignment="1">
      <alignment horizontal="center"/>
    </xf>
    <xf numFmtId="0" fontId="54" fillId="42" borderId="10" xfId="47" applyFont="1" applyFill="1" applyBorder="1" applyAlignment="1">
      <alignment horizontal="center" vertical="center"/>
    </xf>
    <xf numFmtId="0" fontId="53" fillId="42" borderId="10" xfId="46" applyFont="1" applyFill="1" applyBorder="1" applyAlignment="1">
      <alignment horizontal="center" vertical="center"/>
    </xf>
    <xf numFmtId="0" fontId="54" fillId="42" borderId="10" xfId="0" applyFont="1" applyFill="1" applyBorder="1" applyAlignment="1">
      <alignment vertical="center"/>
    </xf>
    <xf numFmtId="0" fontId="54" fillId="42" borderId="10" xfId="47" applyNumberFormat="1" applyFont="1" applyFill="1" applyBorder="1" applyAlignment="1">
      <alignment horizontal="center" vertical="center"/>
    </xf>
    <xf numFmtId="0" fontId="53" fillId="42" borderId="10" xfId="47" applyFont="1" applyFill="1" applyBorder="1" applyAlignment="1">
      <alignment horizontal="center" vertical="center"/>
    </xf>
    <xf numFmtId="165" fontId="54" fillId="42" borderId="10" xfId="37" applyNumberFormat="1" applyFont="1" applyFill="1" applyBorder="1" applyAlignment="1">
      <alignment horizontal="center" vertical="center"/>
    </xf>
    <xf numFmtId="165" fontId="53" fillId="42" borderId="10" xfId="37" applyNumberFormat="1" applyFont="1" applyFill="1" applyBorder="1" applyAlignment="1">
      <alignment horizontal="center" vertical="center"/>
    </xf>
    <xf numFmtId="0" fontId="54" fillId="42" borderId="0" xfId="47" applyFont="1" applyFill="1" applyAlignment="1">
      <alignment vertical="center"/>
    </xf>
    <xf numFmtId="0" fontId="69" fillId="0" borderId="10" xfId="0" applyFont="1" applyBorder="1" applyAlignment="1">
      <alignment horizontal="center"/>
    </xf>
    <xf numFmtId="0" fontId="19" fillId="44" borderId="17" xfId="0" applyFont="1" applyFill="1" applyBorder="1" applyAlignment="1">
      <alignment horizontal="center" vertical="center"/>
    </xf>
    <xf numFmtId="173" fontId="53" fillId="20" borderId="10" xfId="37" applyNumberFormat="1" applyFont="1" applyFill="1" applyBorder="1" applyAlignment="1">
      <alignment horizontal="right" vertical="center"/>
    </xf>
    <xf numFmtId="4" fontId="59" fillId="0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12" fillId="50" borderId="0" xfId="0" applyNumberFormat="1" applyFont="1" applyFill="1" applyBorder="1"/>
    <xf numFmtId="40" fontId="30" fillId="57" borderId="0" xfId="33" applyFont="1" applyFill="1" applyBorder="1" applyAlignment="1">
      <alignment horizontal="center"/>
    </xf>
    <xf numFmtId="40" fontId="19" fillId="58" borderId="10" xfId="33" applyFont="1" applyFill="1" applyBorder="1" applyAlignment="1">
      <alignment vertical="center"/>
    </xf>
    <xf numFmtId="4" fontId="24" fillId="59" borderId="12" xfId="0" applyNumberFormat="1" applyFont="1" applyFill="1" applyBorder="1" applyAlignment="1">
      <alignment horizontal="right" vertical="center"/>
    </xf>
    <xf numFmtId="10" fontId="69" fillId="0" borderId="0" xfId="0" applyNumberFormat="1" applyFont="1"/>
    <xf numFmtId="4" fontId="73" fillId="0" borderId="0" xfId="0" applyNumberFormat="1" applyFont="1"/>
    <xf numFmtId="17" fontId="21" fillId="18" borderId="11" xfId="0" applyNumberFormat="1" applyFont="1" applyFill="1" applyBorder="1" applyAlignment="1">
      <alignment horizontal="center" vertical="center"/>
    </xf>
    <xf numFmtId="0" fontId="8" fillId="18" borderId="10" xfId="62" applyFont="1" applyFill="1" applyBorder="1" applyAlignment="1">
      <alignment horizontal="center" vertical="center" wrapText="1"/>
    </xf>
    <xf numFmtId="0" fontId="8" fillId="18" borderId="12" xfId="62" applyFont="1" applyFill="1" applyBorder="1" applyAlignment="1">
      <alignment horizontal="center" vertical="center" wrapText="1"/>
    </xf>
    <xf numFmtId="0" fontId="8" fillId="18" borderId="14" xfId="62" applyFont="1" applyFill="1" applyBorder="1" applyAlignment="1">
      <alignment horizontal="center" vertical="center"/>
    </xf>
    <xf numFmtId="40" fontId="19" fillId="0" borderId="10" xfId="33" applyFont="1" applyFill="1" applyBorder="1" applyAlignment="1">
      <alignment horizontal="right" vertical="center"/>
    </xf>
    <xf numFmtId="40" fontId="19" fillId="0" borderId="10" xfId="33" applyFont="1" applyBorder="1" applyAlignment="1">
      <alignment horizontal="right" vertical="center"/>
    </xf>
    <xf numFmtId="40" fontId="19" fillId="60" borderId="10" xfId="33" applyFont="1" applyFill="1" applyBorder="1" applyAlignment="1">
      <alignment vertical="center"/>
    </xf>
    <xf numFmtId="0" fontId="14" fillId="55" borderId="13" xfId="47" applyFont="1" applyFill="1" applyBorder="1" applyAlignment="1">
      <alignment horizontal="center" vertical="center" wrapText="1"/>
    </xf>
    <xf numFmtId="0" fontId="14" fillId="55" borderId="12" xfId="47" applyFont="1" applyFill="1" applyBorder="1" applyAlignment="1">
      <alignment horizontal="center" vertical="center" wrapText="1"/>
    </xf>
    <xf numFmtId="0" fontId="14" fillId="55" borderId="10" xfId="47" applyFont="1" applyFill="1" applyBorder="1" applyAlignment="1">
      <alignment horizontal="center" vertical="center"/>
    </xf>
    <xf numFmtId="0" fontId="71" fillId="45" borderId="10" xfId="0" applyFont="1" applyFill="1" applyBorder="1" applyAlignment="1">
      <alignment horizontal="center" vertical="center" wrapText="1"/>
    </xf>
    <xf numFmtId="0" fontId="3" fillId="52" borderId="10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/>
    </xf>
    <xf numFmtId="0" fontId="3" fillId="20" borderId="25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3" fillId="43" borderId="10" xfId="0" applyFont="1" applyFill="1" applyBorder="1" applyAlignment="1">
      <alignment horizontal="center" vertical="center" wrapText="1"/>
    </xf>
    <xf numFmtId="0" fontId="3" fillId="36" borderId="10" xfId="0" applyFont="1" applyFill="1" applyBorder="1" applyAlignment="1">
      <alignment horizontal="center" vertical="center" wrapText="1"/>
    </xf>
    <xf numFmtId="0" fontId="53" fillId="24" borderId="34" xfId="62" applyFont="1" applyFill="1" applyBorder="1" applyAlignment="1">
      <alignment horizontal="center" vertical="center"/>
    </xf>
    <xf numFmtId="0" fontId="53" fillId="24" borderId="15" xfId="62" applyFont="1" applyFill="1" applyBorder="1" applyAlignment="1">
      <alignment horizontal="center" vertical="center"/>
    </xf>
    <xf numFmtId="0" fontId="53" fillId="24" borderId="14" xfId="62" applyFont="1" applyFill="1" applyBorder="1" applyAlignment="1">
      <alignment horizontal="center" vertical="center"/>
    </xf>
    <xf numFmtId="0" fontId="53" fillId="24" borderId="35" xfId="62" applyFont="1" applyFill="1" applyBorder="1" applyAlignment="1">
      <alignment horizontal="center" vertical="center"/>
    </xf>
    <xf numFmtId="0" fontId="53" fillId="24" borderId="27" xfId="62" applyFont="1" applyFill="1" applyBorder="1" applyAlignment="1">
      <alignment horizontal="center" vertical="center"/>
    </xf>
    <xf numFmtId="0" fontId="53" fillId="24" borderId="49" xfId="62" applyFont="1" applyFill="1" applyBorder="1" applyAlignment="1">
      <alignment horizontal="center" vertical="center"/>
    </xf>
    <xf numFmtId="0" fontId="8" fillId="18" borderId="13" xfId="62" applyFont="1" applyFill="1" applyBorder="1" applyAlignment="1">
      <alignment horizontal="center" vertical="center" wrapText="1"/>
    </xf>
    <xf numFmtId="0" fontId="8" fillId="18" borderId="12" xfId="62" applyFont="1" applyFill="1" applyBorder="1" applyAlignment="1">
      <alignment horizontal="center" vertical="center" wrapText="1"/>
    </xf>
    <xf numFmtId="0" fontId="8" fillId="18" borderId="34" xfId="62" applyFont="1" applyFill="1" applyBorder="1" applyAlignment="1">
      <alignment horizontal="center" vertical="center"/>
    </xf>
    <xf numFmtId="0" fontId="8" fillId="18" borderId="15" xfId="62" applyFont="1" applyFill="1" applyBorder="1" applyAlignment="1">
      <alignment horizontal="center" vertical="center"/>
    </xf>
    <xf numFmtId="0" fontId="8" fillId="18" borderId="14" xfId="62" applyFont="1" applyFill="1" applyBorder="1" applyAlignment="1">
      <alignment horizontal="center" vertical="center"/>
    </xf>
    <xf numFmtId="0" fontId="8" fillId="18" borderId="10" xfId="62" applyFont="1" applyFill="1" applyBorder="1" applyAlignment="1">
      <alignment horizontal="center" vertical="center" wrapText="1"/>
    </xf>
    <xf numFmtId="0" fontId="19" fillId="18" borderId="10" xfId="62" applyFont="1" applyFill="1" applyBorder="1" applyAlignment="1">
      <alignment horizontal="center" vertical="center" wrapText="1"/>
    </xf>
    <xf numFmtId="0" fontId="8" fillId="18" borderId="28" xfId="62" applyFont="1" applyFill="1" applyBorder="1" applyAlignment="1">
      <alignment horizontal="center" vertical="center" wrapText="1"/>
    </xf>
    <xf numFmtId="0" fontId="8" fillId="18" borderId="10" xfId="62" applyFont="1" applyFill="1" applyBorder="1" applyAlignment="1">
      <alignment horizontal="center" vertical="center"/>
    </xf>
    <xf numFmtId="0" fontId="13" fillId="18" borderId="10" xfId="62" applyFont="1" applyFill="1" applyBorder="1" applyAlignment="1">
      <alignment horizontal="center" vertical="center"/>
    </xf>
    <xf numFmtId="4" fontId="8" fillId="18" borderId="10" xfId="62" applyNumberFormat="1" applyFont="1" applyFill="1" applyBorder="1" applyAlignment="1">
      <alignment horizontal="center" vertical="center" wrapText="1"/>
    </xf>
    <xf numFmtId="0" fontId="66" fillId="18" borderId="13" xfId="62" applyFont="1" applyFill="1" applyBorder="1" applyAlignment="1">
      <alignment horizontal="center" vertical="center" wrapText="1"/>
    </xf>
    <xf numFmtId="0" fontId="66" fillId="18" borderId="12" xfId="62" applyFont="1" applyFill="1" applyBorder="1" applyAlignment="1">
      <alignment horizontal="center" vertical="center" wrapText="1"/>
    </xf>
    <xf numFmtId="0" fontId="14" fillId="24" borderId="10" xfId="0" applyFont="1" applyFill="1" applyBorder="1" applyAlignment="1">
      <alignment horizontal="center" vertical="center" wrapText="1"/>
    </xf>
    <xf numFmtId="0" fontId="3" fillId="45" borderId="17" xfId="0" applyFont="1" applyFill="1" applyBorder="1" applyAlignment="1">
      <alignment horizontal="center" vertical="center" wrapText="1"/>
    </xf>
    <xf numFmtId="0" fontId="3" fillId="45" borderId="25" xfId="0" applyFont="1" applyFill="1" applyBorder="1" applyAlignment="1">
      <alignment horizontal="center" vertical="center" wrapText="1"/>
    </xf>
    <xf numFmtId="0" fontId="3" fillId="45" borderId="11" xfId="0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64" fillId="29" borderId="21" xfId="0" applyFont="1" applyFill="1" applyBorder="1" applyAlignment="1">
      <alignment horizontal="center" wrapText="1"/>
    </xf>
    <xf numFmtId="0" fontId="14" fillId="45" borderId="10" xfId="0" applyFont="1" applyFill="1" applyBorder="1" applyAlignment="1">
      <alignment horizontal="center" vertical="center" wrapText="1"/>
    </xf>
    <xf numFmtId="0" fontId="32" fillId="22" borderId="17" xfId="0" applyFont="1" applyFill="1" applyBorder="1" applyAlignment="1">
      <alignment horizontal="center" wrapText="1"/>
    </xf>
    <xf numFmtId="0" fontId="32" fillId="22" borderId="25" xfId="0" applyFont="1" applyFill="1" applyBorder="1" applyAlignment="1">
      <alignment horizontal="center" wrapText="1"/>
    </xf>
    <xf numFmtId="0" fontId="32" fillId="22" borderId="11" xfId="0" applyFont="1" applyFill="1" applyBorder="1" applyAlignment="1">
      <alignment horizont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3" fillId="39" borderId="12" xfId="0" applyFont="1" applyFill="1" applyBorder="1" applyAlignment="1">
      <alignment horizontal="center" vertical="center" wrapText="1"/>
    </xf>
    <xf numFmtId="0" fontId="3" fillId="39" borderId="41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27" borderId="39" xfId="0" applyFont="1" applyFill="1" applyBorder="1" applyAlignment="1">
      <alignment horizontal="center" vertical="center" wrapText="1"/>
    </xf>
    <xf numFmtId="0" fontId="3" fillId="27" borderId="40" xfId="0" applyFont="1" applyFill="1" applyBorder="1" applyAlignment="1">
      <alignment horizontal="center" vertical="center" wrapText="1"/>
    </xf>
    <xf numFmtId="0" fontId="3" fillId="27" borderId="42" xfId="0" applyFont="1" applyFill="1" applyBorder="1" applyAlignment="1">
      <alignment horizontal="center" vertical="center" wrapText="1"/>
    </xf>
    <xf numFmtId="0" fontId="3" fillId="27" borderId="43" xfId="0" applyFont="1" applyFill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4" borderId="17" xfId="0" applyFont="1" applyFill="1" applyBorder="1" applyAlignment="1">
      <alignment horizontal="center" vertical="center" wrapText="1"/>
    </xf>
    <xf numFmtId="0" fontId="14" fillId="24" borderId="25" xfId="0" applyFont="1" applyFill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71" fillId="55" borderId="13" xfId="47" applyFont="1" applyFill="1" applyBorder="1" applyAlignment="1">
      <alignment horizontal="center" vertical="center"/>
    </xf>
    <xf numFmtId="0" fontId="71" fillId="55" borderId="12" xfId="47" applyFont="1" applyFill="1" applyBorder="1" applyAlignment="1">
      <alignment horizontal="center" vertical="center"/>
    </xf>
    <xf numFmtId="0" fontId="71" fillId="55" borderId="13" xfId="47" applyFont="1" applyFill="1" applyBorder="1" applyAlignment="1">
      <alignment horizontal="center" vertical="center" wrapText="1"/>
    </xf>
    <xf numFmtId="0" fontId="71" fillId="55" borderId="12" xfId="47" applyFont="1" applyFill="1" applyBorder="1" applyAlignment="1">
      <alignment horizontal="center" vertical="center" wrapText="1"/>
    </xf>
    <xf numFmtId="0" fontId="14" fillId="55" borderId="10" xfId="47" applyFont="1" applyFill="1" applyBorder="1" applyAlignment="1">
      <alignment horizontal="center" vertical="center"/>
    </xf>
    <xf numFmtId="0" fontId="14" fillId="23" borderId="17" xfId="47" applyFont="1" applyFill="1" applyBorder="1" applyAlignment="1">
      <alignment horizontal="center" vertical="center"/>
    </xf>
    <xf numFmtId="0" fontId="14" fillId="23" borderId="25" xfId="47" applyFont="1" applyFill="1" applyBorder="1" applyAlignment="1">
      <alignment horizontal="center" vertical="center"/>
    </xf>
    <xf numFmtId="0" fontId="14" fillId="23" borderId="11" xfId="47" applyFont="1" applyFill="1" applyBorder="1" applyAlignment="1">
      <alignment horizontal="center" vertical="center"/>
    </xf>
    <xf numFmtId="0" fontId="19" fillId="0" borderId="13" xfId="47" applyFont="1" applyFill="1" applyBorder="1" applyAlignment="1">
      <alignment horizontal="center"/>
    </xf>
    <xf numFmtId="0" fontId="19" fillId="0" borderId="12" xfId="47" applyFont="1" applyFill="1" applyBorder="1" applyAlignment="1">
      <alignment horizontal="center"/>
    </xf>
    <xf numFmtId="0" fontId="14" fillId="55" borderId="13" xfId="47" applyFont="1" applyFill="1" applyBorder="1" applyAlignment="1">
      <alignment horizontal="center" vertical="center"/>
    </xf>
    <xf numFmtId="0" fontId="14" fillId="55" borderId="12" xfId="47" applyFont="1" applyFill="1" applyBorder="1" applyAlignment="1">
      <alignment horizontal="center" vertical="center"/>
    </xf>
    <xf numFmtId="0" fontId="14" fillId="55" borderId="13" xfId="47" applyFont="1" applyFill="1" applyBorder="1" applyAlignment="1">
      <alignment horizontal="center" vertical="center" wrapText="1"/>
    </xf>
    <xf numFmtId="0" fontId="14" fillId="55" borderId="12" xfId="47" applyFont="1" applyFill="1" applyBorder="1" applyAlignment="1">
      <alignment horizontal="center" vertical="center" wrapText="1"/>
    </xf>
    <xf numFmtId="0" fontId="14" fillId="55" borderId="10" xfId="47" applyFont="1" applyFill="1" applyBorder="1" applyAlignment="1">
      <alignment horizontal="center" vertical="center" wrapText="1"/>
    </xf>
    <xf numFmtId="0" fontId="14" fillId="31" borderId="13" xfId="47" applyFont="1" applyFill="1" applyBorder="1" applyAlignment="1">
      <alignment horizontal="center" vertical="center" wrapText="1"/>
    </xf>
    <xf numFmtId="0" fontId="14" fillId="31" borderId="12" xfId="47" applyFont="1" applyFill="1" applyBorder="1" applyAlignment="1">
      <alignment horizontal="center" vertical="center" wrapText="1"/>
    </xf>
    <xf numFmtId="17" fontId="28" fillId="27" borderId="10" xfId="0" applyNumberFormat="1" applyFont="1" applyFill="1" applyBorder="1" applyAlignment="1">
      <alignment horizontal="center" vertical="center"/>
    </xf>
    <xf numFmtId="4" fontId="21" fillId="20" borderId="17" xfId="0" applyNumberFormat="1" applyFont="1" applyFill="1" applyBorder="1" applyAlignment="1">
      <alignment horizontal="center" vertical="center"/>
    </xf>
    <xf numFmtId="4" fontId="21" fillId="20" borderId="25" xfId="0" applyNumberFormat="1" applyFont="1" applyFill="1" applyBorder="1" applyAlignment="1">
      <alignment horizontal="center" vertical="center"/>
    </xf>
    <xf numFmtId="4" fontId="21" fillId="20" borderId="11" xfId="0" applyNumberFormat="1" applyFont="1" applyFill="1" applyBorder="1" applyAlignment="1">
      <alignment horizontal="center" vertical="center"/>
    </xf>
    <xf numFmtId="17" fontId="21" fillId="18" borderId="17" xfId="0" applyNumberFormat="1" applyFont="1" applyFill="1" applyBorder="1" applyAlignment="1">
      <alignment horizontal="center" vertical="center"/>
    </xf>
    <xf numFmtId="17" fontId="21" fillId="18" borderId="25" xfId="0" applyNumberFormat="1" applyFont="1" applyFill="1" applyBorder="1" applyAlignment="1">
      <alignment horizontal="center" vertical="center"/>
    </xf>
    <xf numFmtId="17" fontId="21" fillId="18" borderId="11" xfId="0" applyNumberFormat="1" applyFont="1" applyFill="1" applyBorder="1" applyAlignment="1">
      <alignment horizontal="center" vertical="center"/>
    </xf>
    <xf numFmtId="0" fontId="19" fillId="61" borderId="10" xfId="47" applyFont="1" applyFill="1" applyBorder="1" applyAlignment="1">
      <alignment horizontal="left" vertical="center"/>
    </xf>
    <xf numFmtId="0" fontId="54" fillId="61" borderId="10" xfId="0" applyFont="1" applyFill="1" applyBorder="1" applyAlignment="1">
      <alignment vertical="center"/>
    </xf>
    <xf numFmtId="2" fontId="19" fillId="0" borderId="10" xfId="47" applyNumberFormat="1" applyFont="1" applyFill="1" applyBorder="1" applyAlignment="1">
      <alignment horizontal="center" vertical="center"/>
    </xf>
    <xf numFmtId="40" fontId="19" fillId="0" borderId="0" xfId="33" applyFont="1" applyBorder="1" applyAlignment="1">
      <alignment horizontal="center"/>
    </xf>
    <xf numFmtId="40" fontId="19" fillId="0" borderId="0" xfId="33" applyFont="1" applyFill="1" applyBorder="1"/>
    <xf numFmtId="40" fontId="19" fillId="0" borderId="10" xfId="33" applyFont="1" applyFill="1" applyBorder="1" applyAlignment="1">
      <alignment horizontal="center" vertical="center"/>
    </xf>
  </cellXfs>
  <cellStyles count="117">
    <cellStyle name="20% - Énfasis1" xfId="1" builtinId="30" customBuiltin="1"/>
    <cellStyle name="20% - Énfasis1 2" xfId="86"/>
    <cellStyle name="20% - Énfasis2" xfId="2" builtinId="34" customBuiltin="1"/>
    <cellStyle name="20% - Énfasis2 2" xfId="87"/>
    <cellStyle name="20% - Énfasis3" xfId="3" builtinId="38" customBuiltin="1"/>
    <cellStyle name="20% - Énfasis3 2" xfId="88"/>
    <cellStyle name="20% - Énfasis4" xfId="4" builtinId="42" customBuiltin="1"/>
    <cellStyle name="20% - Énfasis4 2" xfId="89"/>
    <cellStyle name="20% - Énfasis5" xfId="5" builtinId="46" customBuiltin="1"/>
    <cellStyle name="20% - Énfasis5 2" xfId="90"/>
    <cellStyle name="20% - Énfasis6" xfId="6" builtinId="50" customBuiltin="1"/>
    <cellStyle name="20% - Énfasis6 2" xfId="91"/>
    <cellStyle name="40% - Énfasis1" xfId="7" builtinId="31" customBuiltin="1"/>
    <cellStyle name="40% - Énfasis1 2" xfId="92"/>
    <cellStyle name="40% - Énfasis2" xfId="8" builtinId="35" customBuiltin="1"/>
    <cellStyle name="40% - Énfasis2 2" xfId="93"/>
    <cellStyle name="40% - Énfasis3" xfId="9" builtinId="39" customBuiltin="1"/>
    <cellStyle name="40% - Énfasis3 2" xfId="94"/>
    <cellStyle name="40% - Énfasis4" xfId="10" builtinId="43" customBuiltin="1"/>
    <cellStyle name="40% - Énfasis4 2" xfId="95"/>
    <cellStyle name="40% - Énfasis5" xfId="11" builtinId="47" customBuiltin="1"/>
    <cellStyle name="40% - Énfasis5 2" xfId="96"/>
    <cellStyle name="40% - Énfasis6" xfId="12" builtinId="51" customBuiltin="1"/>
    <cellStyle name="40% - Énfasis6 2" xfId="97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illares 3" xfId="35"/>
    <cellStyle name="Millares 4" xfId="36"/>
    <cellStyle name="Millares 5" xfId="82"/>
    <cellStyle name="Moneda" xfId="37" builtinId="4"/>
    <cellStyle name="Moneda 2" xfId="38"/>
    <cellStyle name="Moneda 2 2" xfId="39"/>
    <cellStyle name="Moneda 2 3" xfId="40"/>
    <cellStyle name="Moneda 2 4" xfId="83"/>
    <cellStyle name="Moneda 3" xfId="41"/>
    <cellStyle name="Moneda 3 2" xfId="42"/>
    <cellStyle name="Moneda 4" xfId="43"/>
    <cellStyle name="Moneda 4 2" xfId="98"/>
    <cellStyle name="Moneda 4 2 2" xfId="99"/>
    <cellStyle name="Moneda 5" xfId="44"/>
    <cellStyle name="Moneda 5 2" xfId="85"/>
    <cellStyle name="Neutral" xfId="45" builtinId="28" customBuiltin="1"/>
    <cellStyle name="Normal" xfId="0" builtinId="0"/>
    <cellStyle name="Normal 2" xfId="46"/>
    <cellStyle name="Normal 2 2" xfId="47"/>
    <cellStyle name="Normal 2 2 2" xfId="48"/>
    <cellStyle name="Normal 2 2 2 2" xfId="100"/>
    <cellStyle name="Normal 2 2 2 2 2" xfId="49"/>
    <cellStyle name="Normal 2 2 2 2 2 2" xfId="50"/>
    <cellStyle name="Normal 2 2 2 2 2 2 2" xfId="51"/>
    <cellStyle name="Normal 2 2 2 2 2 2 2 2" xfId="52"/>
    <cellStyle name="Normal 2 2 2 2 2 2 2 3" xfId="101"/>
    <cellStyle name="Normal 2 2 2 2 2 3" xfId="53"/>
    <cellStyle name="Normal 2 2 2 2 2 4" xfId="102"/>
    <cellStyle name="Normal 2 2 2 2 3" xfId="54"/>
    <cellStyle name="Normal 2 2 2 2 3 2" xfId="103"/>
    <cellStyle name="Normal 2 2 2 3" xfId="55"/>
    <cellStyle name="Normal 2 2 2 4" xfId="56"/>
    <cellStyle name="Normal 2 2 2 5" xfId="104"/>
    <cellStyle name="Normal 2 2 3" xfId="57"/>
    <cellStyle name="Normal 2 2 3 2" xfId="105"/>
    <cellStyle name="Normal 2 2 4" xfId="58"/>
    <cellStyle name="Normal 2 2 4 2" xfId="106"/>
    <cellStyle name="Normal 2 3" xfId="59"/>
    <cellStyle name="Normal 2 4" xfId="60"/>
    <cellStyle name="Normal 2 5" xfId="61"/>
    <cellStyle name="Normal 2 6" xfId="81"/>
    <cellStyle name="Normal 3" xfId="62"/>
    <cellStyle name="Normal 3 2" xfId="63"/>
    <cellStyle name="Normal 3 2 2" xfId="107"/>
    <cellStyle name="Normal 3 3" xfId="64"/>
    <cellStyle name="Normal 3 3 2" xfId="108"/>
    <cellStyle name="Normal 3 4" xfId="109"/>
    <cellStyle name="Normal 4" xfId="65"/>
    <cellStyle name="Normal 4 2" xfId="66"/>
    <cellStyle name="Normal 4 2 2" xfId="110"/>
    <cellStyle name="Normal 4 3" xfId="111"/>
    <cellStyle name="Normal 5" xfId="67"/>
    <cellStyle name="Normal 5 2" xfId="84"/>
    <cellStyle name="Normal 6" xfId="80"/>
    <cellStyle name="Normal 7" xfId="112"/>
    <cellStyle name="Notas" xfId="68" builtinId="10" customBuiltin="1"/>
    <cellStyle name="Notas 2" xfId="113"/>
    <cellStyle name="Porcentaje" xfId="69" builtinId="5"/>
    <cellStyle name="Porcentual 2" xfId="70"/>
    <cellStyle name="Porcentual 2 2" xfId="114"/>
    <cellStyle name="Porcentual 2 3" xfId="115"/>
    <cellStyle name="Porcentual 3" xfId="71"/>
    <cellStyle name="Salida" xfId="72" builtinId="21" customBuiltin="1"/>
    <cellStyle name="Texto de advertencia" xfId="73" builtinId="11" customBuiltin="1"/>
    <cellStyle name="Texto de advertencia 2" xfId="116"/>
    <cellStyle name="Texto explicativo" xfId="74" builtinId="53" customBuiltin="1"/>
    <cellStyle name="Título" xfId="75" builtinId="15" customBuiltin="1"/>
    <cellStyle name="Título 1" xfId="76" builtinId="16" customBuiltin="1"/>
    <cellStyle name="Título 2" xfId="77" builtinId="17" customBuiltin="1"/>
    <cellStyle name="Título 3" xfId="78" builtinId="18" customBuiltin="1"/>
    <cellStyle name="Total" xfId="7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99"/>
      <color rgb="FF74F6FC"/>
      <color rgb="FF66FF33"/>
      <color rgb="FFFF66CC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RVICIOS%20COMUNALES%20SA/NOMINAS/2022/NOMINA%20SERVICIOS%20COMUNALES%2009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ORE"/>
      <sheetName val="NOMINA"/>
      <sheetName val="feriados"/>
      <sheetName val="GREMIO"/>
      <sheetName val="hs extras"/>
      <sheetName val="CARGAS SOCIALES"/>
      <sheetName val="EMBARGOS "/>
      <sheetName val="vac pendientes"/>
      <sheetName val="VAC 2022"/>
      <sheetName val="VAC 2021"/>
      <sheetName val="VAC 2020"/>
      <sheetName val="1° SAC"/>
      <sheetName val="1° SAC (2)"/>
      <sheetName val="2° SAC "/>
      <sheetName val="2° SAC  (2)"/>
      <sheetName val="neto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9">
          <cell r="H9">
            <v>100</v>
          </cell>
          <cell r="N9">
            <v>150682.04700516135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"/>
  <sheetViews>
    <sheetView topLeftCell="E1" workbookViewId="0">
      <selection activeCell="Q2" sqref="Q2"/>
    </sheetView>
  </sheetViews>
  <sheetFormatPr baseColWidth="10" defaultRowHeight="12.75" x14ac:dyDescent="0.2"/>
  <cols>
    <col min="1" max="1" width="11.42578125" style="355"/>
    <col min="2" max="2" width="12.42578125" style="355" bestFit="1" customWidth="1"/>
    <col min="3" max="3" width="11.42578125" style="355"/>
    <col min="4" max="4" width="31.5703125" style="355" customWidth="1"/>
    <col min="5" max="8" width="11.42578125" style="355"/>
    <col min="9" max="11" width="12.5703125" style="355" customWidth="1"/>
    <col min="12" max="16384" width="11.42578125" style="355"/>
  </cols>
  <sheetData>
    <row r="1" spans="2:22" x14ac:dyDescent="0.2">
      <c r="D1" s="355" t="s">
        <v>199</v>
      </c>
      <c r="E1" s="388">
        <v>44682</v>
      </c>
      <c r="F1" s="388">
        <v>44713</v>
      </c>
      <c r="H1" s="388">
        <v>44805</v>
      </c>
      <c r="I1" s="355" t="s">
        <v>241</v>
      </c>
      <c r="J1" s="443">
        <v>0.104</v>
      </c>
      <c r="K1" s="355" t="s">
        <v>257</v>
      </c>
      <c r="L1" s="443">
        <v>0.10299999999999999</v>
      </c>
      <c r="M1" s="355" t="s">
        <v>258</v>
      </c>
      <c r="N1" s="443">
        <v>0.10299999999999999</v>
      </c>
      <c r="O1" s="355" t="s">
        <v>262</v>
      </c>
      <c r="P1" s="443">
        <v>0.104</v>
      </c>
      <c r="Q1" s="355" t="s">
        <v>263</v>
      </c>
    </row>
    <row r="2" spans="2:22" ht="15.75" customHeight="1" x14ac:dyDescent="0.2">
      <c r="B2" s="455" t="s">
        <v>145</v>
      </c>
      <c r="C2" s="455" t="s">
        <v>144</v>
      </c>
      <c r="D2" s="385" t="s">
        <v>146</v>
      </c>
      <c r="E2" s="360">
        <v>134045</v>
      </c>
      <c r="F2" s="389">
        <f>+E2*15.5/100</f>
        <v>20776.974999999999</v>
      </c>
      <c r="G2" s="390">
        <f>+E2+F2</f>
        <v>154821.97500000001</v>
      </c>
      <c r="H2" s="389">
        <f>+E2*15.5/100</f>
        <v>20776.974999999999</v>
      </c>
      <c r="I2" s="390">
        <f>+G2+H2</f>
        <v>175598.95</v>
      </c>
      <c r="J2" s="390">
        <f>+E2*10.4/100</f>
        <v>13940.68</v>
      </c>
      <c r="K2" s="390">
        <f>+I2+J2</f>
        <v>189539.63</v>
      </c>
      <c r="L2" s="389">
        <f>+E2*10.3/100</f>
        <v>13806.635</v>
      </c>
      <c r="M2" s="390">
        <f>+K2+L2</f>
        <v>203346.26500000001</v>
      </c>
      <c r="N2" s="389">
        <f>+E2*10.3/100</f>
        <v>13806.635</v>
      </c>
      <c r="O2" s="390">
        <f>+M2+N2</f>
        <v>217152.90000000002</v>
      </c>
      <c r="P2" s="389">
        <f>+E2*10.3/100</f>
        <v>13806.635</v>
      </c>
      <c r="Q2" s="390">
        <f>+O2+P2</f>
        <v>230959.53500000003</v>
      </c>
      <c r="R2" s="355">
        <v>180000</v>
      </c>
      <c r="S2" s="355">
        <f>+R2*15.5/100</f>
        <v>27900</v>
      </c>
      <c r="T2" s="355">
        <f>+R2+S2</f>
        <v>207900</v>
      </c>
      <c r="U2" s="389">
        <f>+R2*15.5/100</f>
        <v>27900</v>
      </c>
      <c r="V2" s="390">
        <f>+T2+U2</f>
        <v>235800</v>
      </c>
    </row>
    <row r="3" spans="2:22" ht="12.75" customHeight="1" x14ac:dyDescent="0.2">
      <c r="B3" s="455"/>
      <c r="C3" s="455"/>
      <c r="E3" s="390"/>
      <c r="R3" s="355">
        <v>120000</v>
      </c>
      <c r="S3" s="355">
        <f>+R3*15.5/100</f>
        <v>18600</v>
      </c>
      <c r="T3" s="355">
        <f>+R3+S3</f>
        <v>138600</v>
      </c>
    </row>
    <row r="4" spans="2:22" x14ac:dyDescent="0.2">
      <c r="B4" s="358" t="s">
        <v>131</v>
      </c>
      <c r="C4" s="386">
        <v>64674.84</v>
      </c>
    </row>
    <row r="5" spans="2:22" x14ac:dyDescent="0.2">
      <c r="B5" s="358" t="s">
        <v>132</v>
      </c>
      <c r="C5" s="386">
        <v>67695.839999999997</v>
      </c>
      <c r="D5" s="355" t="s">
        <v>200</v>
      </c>
      <c r="H5" s="355">
        <v>15.5</v>
      </c>
      <c r="I5" s="355" t="s">
        <v>256</v>
      </c>
      <c r="J5" s="355">
        <v>10.4</v>
      </c>
      <c r="K5" s="355" t="s">
        <v>256</v>
      </c>
      <c r="L5" s="355">
        <v>10.3</v>
      </c>
      <c r="M5" s="355" t="s">
        <v>256</v>
      </c>
      <c r="N5" s="355">
        <v>10.3</v>
      </c>
      <c r="O5" s="355" t="s">
        <v>256</v>
      </c>
    </row>
    <row r="6" spans="2:22" x14ac:dyDescent="0.2">
      <c r="B6" s="358" t="s">
        <v>133</v>
      </c>
      <c r="C6" s="386">
        <v>70869.48</v>
      </c>
      <c r="D6" s="387" t="s">
        <v>167</v>
      </c>
      <c r="E6" s="360">
        <v>5000</v>
      </c>
      <c r="F6" s="389">
        <f>+E6*15.5/100</f>
        <v>775</v>
      </c>
      <c r="G6" s="390">
        <f>+E6+F6</f>
        <v>5775</v>
      </c>
      <c r="H6" s="389">
        <f>+G6*15.5/100</f>
        <v>895.125</v>
      </c>
      <c r="I6" s="390">
        <f>+G6+H6</f>
        <v>6670.125</v>
      </c>
      <c r="J6" s="389">
        <f>+E6*0.104</f>
        <v>520</v>
      </c>
      <c r="K6" s="389">
        <f>+I6+J6</f>
        <v>7190.125</v>
      </c>
      <c r="L6" s="389">
        <f>+E6*0.103</f>
        <v>515</v>
      </c>
      <c r="M6" s="389">
        <f>+K6+L6</f>
        <v>7705.125</v>
      </c>
      <c r="N6" s="389">
        <f>+E6*0.103</f>
        <v>515</v>
      </c>
      <c r="O6" s="389">
        <f>+M6+N6</f>
        <v>8220.125</v>
      </c>
    </row>
    <row r="7" spans="2:22" x14ac:dyDescent="0.2">
      <c r="B7" s="358" t="s">
        <v>134</v>
      </c>
      <c r="C7" s="386">
        <v>74200.53</v>
      </c>
      <c r="D7" s="387" t="s">
        <v>220</v>
      </c>
      <c r="E7" s="360">
        <v>30000</v>
      </c>
      <c r="I7" s="400">
        <f>+E7</f>
        <v>30000</v>
      </c>
      <c r="J7" s="389">
        <f>+E7*0.104</f>
        <v>3120</v>
      </c>
      <c r="K7" s="389">
        <f>+I7+J7</f>
        <v>33120</v>
      </c>
      <c r="L7" s="389">
        <f>+E7*0.103</f>
        <v>3090</v>
      </c>
      <c r="M7" s="389">
        <f>+K7+L7</f>
        <v>36210</v>
      </c>
      <c r="N7" s="389">
        <f>+E7*0.103</f>
        <v>3090</v>
      </c>
      <c r="O7" s="389">
        <f>+M7+N7</f>
        <v>39300</v>
      </c>
    </row>
    <row r="8" spans="2:22" x14ac:dyDescent="0.2">
      <c r="B8" s="358" t="s">
        <v>135</v>
      </c>
      <c r="C8" s="386">
        <v>77698.53</v>
      </c>
    </row>
    <row r="9" spans="2:22" x14ac:dyDescent="0.2">
      <c r="B9" s="358" t="s">
        <v>136</v>
      </c>
      <c r="C9" s="386">
        <v>81371.429999999993</v>
      </c>
    </row>
  </sheetData>
  <mergeCells count="2">
    <mergeCell ref="C2:C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L33"/>
  <sheetViews>
    <sheetView zoomScaleNormal="100" workbookViewId="0">
      <pane xSplit="9" topLeftCell="Q1" activePane="topRight" state="frozen"/>
      <selection pane="topRight" activeCell="X6" sqref="X6"/>
    </sheetView>
  </sheetViews>
  <sheetFormatPr baseColWidth="10" defaultColWidth="11.42578125" defaultRowHeight="12" customHeight="1" x14ac:dyDescent="0.2"/>
  <cols>
    <col min="1" max="1" width="3.140625" style="3" customWidth="1"/>
    <col min="2" max="2" width="14.28515625" style="3" customWidth="1"/>
    <col min="3" max="3" width="5.5703125" style="3" customWidth="1"/>
    <col min="4" max="4" width="26" style="3" customWidth="1"/>
    <col min="5" max="5" width="11.140625" style="3" customWidth="1"/>
    <col min="6" max="6" width="7.5703125" style="3" customWidth="1"/>
    <col min="7" max="7" width="11" style="11" customWidth="1"/>
    <col min="8" max="8" width="6.85546875" style="3" customWidth="1"/>
    <col min="9" max="9" width="5.5703125" style="3" customWidth="1"/>
    <col min="10" max="10" width="11.28515625" style="3" customWidth="1"/>
    <col min="11" max="15" width="7.42578125" style="3" customWidth="1"/>
    <col min="16" max="16" width="11.42578125" style="3" customWidth="1"/>
    <col min="17" max="19" width="10.5703125" style="3" customWidth="1"/>
    <col min="20" max="20" width="11.7109375" style="3" customWidth="1"/>
    <col min="21" max="23" width="10.5703125" style="3" customWidth="1"/>
    <col min="24" max="24" width="10.140625" style="3" bestFit="1" customWidth="1"/>
    <col min="25" max="27" width="10.42578125" style="3" customWidth="1"/>
    <col min="28" max="28" width="2.140625" style="3" customWidth="1"/>
    <col min="29" max="31" width="10.42578125" style="3" customWidth="1"/>
    <col min="32" max="32" width="2.5703125" style="3" customWidth="1"/>
    <col min="33" max="33" width="12" style="3" customWidth="1"/>
    <col min="34" max="34" width="10.85546875" style="3" customWidth="1"/>
    <col min="35" max="35" width="10.140625" style="3" customWidth="1"/>
    <col min="36" max="36" width="13" style="3" customWidth="1"/>
    <col min="37" max="37" width="13.28515625" style="3" customWidth="1"/>
    <col min="38" max="38" width="13" style="3" customWidth="1"/>
    <col min="39" max="56" width="7.85546875" style="3" customWidth="1"/>
    <col min="57" max="16384" width="11.42578125" style="3"/>
  </cols>
  <sheetData>
    <row r="1" spans="1:38" customFormat="1" ht="24" thickBot="1" x14ac:dyDescent="0.4">
      <c r="A1" s="36" t="s">
        <v>177</v>
      </c>
      <c r="C1" s="29"/>
      <c r="D1" s="29"/>
      <c r="E1" s="3"/>
      <c r="F1" s="3"/>
      <c r="G1" s="11"/>
      <c r="H1" s="287"/>
      <c r="I1" s="3"/>
      <c r="J1" s="304">
        <v>44926</v>
      </c>
      <c r="K1" s="9"/>
      <c r="L1" s="9"/>
      <c r="M1" s="9"/>
      <c r="N1" s="9"/>
      <c r="O1" s="9"/>
      <c r="P1" s="9"/>
      <c r="Q1" s="9"/>
      <c r="R1" s="9"/>
      <c r="S1" s="9"/>
      <c r="AA1" s="4"/>
      <c r="AE1" s="4"/>
      <c r="AF1" s="4"/>
      <c r="AG1" s="4"/>
      <c r="AH1" s="4"/>
      <c r="AI1" s="4"/>
    </row>
    <row r="2" spans="1:38" s="9" customFormat="1" ht="20.25" x14ac:dyDescent="0.3">
      <c r="A2" s="288" t="s">
        <v>178</v>
      </c>
      <c r="C2" s="29"/>
      <c r="D2" s="29"/>
      <c r="E2" s="28"/>
      <c r="F2" s="28"/>
      <c r="G2" s="2"/>
      <c r="R2" s="2"/>
      <c r="S2" s="2"/>
      <c r="T2" s="2"/>
      <c r="V2" s="37"/>
      <c r="W2" s="14"/>
      <c r="X2" s="10"/>
      <c r="AI2" s="14"/>
    </row>
    <row r="3" spans="1:38" s="9" customFormat="1" ht="19.5" customHeight="1" x14ac:dyDescent="0.2">
      <c r="J3" s="289">
        <f>+AI7-280000</f>
        <v>-6100</v>
      </c>
      <c r="K3" s="289"/>
      <c r="L3" s="289"/>
      <c r="M3" s="289"/>
      <c r="N3" s="289"/>
      <c r="O3" s="289"/>
      <c r="P3" s="290"/>
      <c r="Q3" s="290"/>
      <c r="R3" s="290"/>
      <c r="S3" s="369"/>
      <c r="T3" s="290"/>
      <c r="U3" s="290"/>
      <c r="V3" s="290"/>
      <c r="W3" s="290"/>
      <c r="AH3" s="305" t="s">
        <v>125</v>
      </c>
    </row>
    <row r="4" spans="1:38" s="9" customFormat="1" ht="12.75" customHeight="1" x14ac:dyDescent="0.2">
      <c r="B4" s="1"/>
      <c r="C4" s="1"/>
      <c r="D4" s="1"/>
      <c r="E4" s="15"/>
      <c r="F4" s="15"/>
      <c r="G4" s="2"/>
      <c r="R4" s="2"/>
      <c r="S4" s="2" t="s">
        <v>201</v>
      </c>
      <c r="T4" s="192">
        <v>9871.6</v>
      </c>
      <c r="X4"/>
      <c r="AC4" s="458" t="s">
        <v>26</v>
      </c>
      <c r="AD4" s="459"/>
      <c r="AE4" s="460"/>
      <c r="AF4" s="38"/>
      <c r="AG4" s="457" t="s">
        <v>27</v>
      </c>
      <c r="AH4" s="461" t="s">
        <v>126</v>
      </c>
      <c r="AI4" s="462" t="s">
        <v>28</v>
      </c>
      <c r="AJ4" s="456" t="s">
        <v>176</v>
      </c>
    </row>
    <row r="5" spans="1:38" s="42" customFormat="1" ht="36.75" customHeight="1" x14ac:dyDescent="0.2">
      <c r="A5" s="41" t="s">
        <v>5</v>
      </c>
      <c r="B5" s="41" t="s">
        <v>0</v>
      </c>
      <c r="C5" s="41" t="s">
        <v>6</v>
      </c>
      <c r="D5" s="41" t="s">
        <v>1</v>
      </c>
      <c r="E5" s="39" t="s">
        <v>29</v>
      </c>
      <c r="F5" s="39" t="s">
        <v>123</v>
      </c>
      <c r="G5" s="40" t="s">
        <v>3</v>
      </c>
      <c r="H5" s="41" t="s">
        <v>30</v>
      </c>
      <c r="I5" s="41" t="s">
        <v>12</v>
      </c>
      <c r="J5" s="41" t="s">
        <v>31</v>
      </c>
      <c r="K5" s="161" t="s">
        <v>124</v>
      </c>
      <c r="L5" s="161" t="s">
        <v>108</v>
      </c>
      <c r="M5" s="161" t="s">
        <v>25</v>
      </c>
      <c r="N5" s="161" t="s">
        <v>243</v>
      </c>
      <c r="O5" s="161" t="s">
        <v>18</v>
      </c>
      <c r="P5" s="164" t="s">
        <v>127</v>
      </c>
      <c r="Q5" s="164" t="s">
        <v>4</v>
      </c>
      <c r="R5" s="164" t="s">
        <v>244</v>
      </c>
      <c r="S5" s="164" t="s">
        <v>175</v>
      </c>
      <c r="T5" s="164" t="s">
        <v>87</v>
      </c>
      <c r="U5" s="164" t="s">
        <v>7</v>
      </c>
      <c r="V5" s="164" t="s">
        <v>2</v>
      </c>
      <c r="W5" s="164" t="s">
        <v>25</v>
      </c>
      <c r="X5" s="41" t="s">
        <v>32</v>
      </c>
      <c r="Y5" s="164" t="s">
        <v>184</v>
      </c>
      <c r="Z5" s="164" t="s">
        <v>25</v>
      </c>
      <c r="AA5" s="41" t="s">
        <v>183</v>
      </c>
      <c r="AC5" s="43" t="s">
        <v>34</v>
      </c>
      <c r="AD5" s="43" t="s">
        <v>35</v>
      </c>
      <c r="AE5" s="43" t="s">
        <v>36</v>
      </c>
      <c r="AF5" s="44"/>
      <c r="AG5" s="457"/>
      <c r="AH5" s="461"/>
      <c r="AI5" s="462"/>
      <c r="AJ5" s="456"/>
    </row>
    <row r="6" spans="1:38" s="51" customFormat="1" ht="21" customHeight="1" x14ac:dyDescent="0.2">
      <c r="A6" s="45">
        <v>1</v>
      </c>
      <c r="B6" s="46">
        <v>20267676527</v>
      </c>
      <c r="C6" s="341">
        <v>1</v>
      </c>
      <c r="D6" s="306" t="s">
        <v>146</v>
      </c>
      <c r="E6" s="45" t="s">
        <v>147</v>
      </c>
      <c r="F6" s="171" t="s">
        <v>130</v>
      </c>
      <c r="G6" s="291">
        <v>44710</v>
      </c>
      <c r="H6" s="48">
        <f>DATEDIF(G6,$J$1,"y")</f>
        <v>0</v>
      </c>
      <c r="I6" s="45">
        <v>100</v>
      </c>
      <c r="J6" s="292">
        <v>141600</v>
      </c>
      <c r="K6" s="307">
        <v>30</v>
      </c>
      <c r="L6" s="307"/>
      <c r="M6" s="307"/>
      <c r="N6" s="307"/>
      <c r="O6" s="347">
        <f>SUM(K6:N6)</f>
        <v>30</v>
      </c>
      <c r="P6" s="284">
        <f>+J6/30*K6</f>
        <v>141600</v>
      </c>
      <c r="Q6" s="49">
        <f>+(J6*I6/100)/30*(K6+L6)</f>
        <v>141600</v>
      </c>
      <c r="R6" s="50">
        <f>+(J6+NETOS!T2)/30*N6</f>
        <v>0</v>
      </c>
      <c r="S6" s="50">
        <f>+NETOS!Q2/30*(K6+N6*0)</f>
        <v>230959.53500000003</v>
      </c>
      <c r="T6" s="50">
        <f>IF(L6&gt;0,0,$T$4*I6/100)/30*(K6+N6*0)</f>
        <v>9871.6</v>
      </c>
      <c r="U6" s="293">
        <v>0</v>
      </c>
      <c r="V6" s="308"/>
      <c r="W6" s="294"/>
      <c r="X6" s="295">
        <f>SUM(Q6:W6)+AC6</f>
        <v>382431.13500000001</v>
      </c>
      <c r="Y6" s="308"/>
      <c r="Z6" s="294"/>
      <c r="AA6" s="295">
        <f>SUM(Y6:Z6)</f>
        <v>0</v>
      </c>
      <c r="AC6" s="52"/>
      <c r="AD6" s="52"/>
      <c r="AE6" s="52"/>
      <c r="AF6" s="53"/>
      <c r="AG6" s="296">
        <f>+'CARGAS SOCIALES'!BD5</f>
        <v>78398.382675000001</v>
      </c>
      <c r="AH6" s="309"/>
      <c r="AI6" s="297">
        <f>ROUNDUP(X6+AA6-AG6-AH6,0)</f>
        <v>304033</v>
      </c>
      <c r="AJ6" s="348">
        <v>180000</v>
      </c>
      <c r="AK6" s="196">
        <f>+AI6-NETOS!V2</f>
        <v>68233</v>
      </c>
      <c r="AL6" s="196"/>
    </row>
    <row r="7" spans="1:38" s="51" customFormat="1" ht="21" customHeight="1" x14ac:dyDescent="0.2">
      <c r="A7" s="45">
        <v>2</v>
      </c>
      <c r="B7" s="46" t="s">
        <v>251</v>
      </c>
      <c r="C7" s="341">
        <v>27</v>
      </c>
      <c r="D7" s="306" t="s">
        <v>252</v>
      </c>
      <c r="E7" s="45" t="s">
        <v>253</v>
      </c>
      <c r="F7" s="171" t="s">
        <v>254</v>
      </c>
      <c r="G7" s="291">
        <v>44887</v>
      </c>
      <c r="H7" s="48"/>
      <c r="I7" s="45">
        <v>100</v>
      </c>
      <c r="J7" s="292">
        <v>330000</v>
      </c>
      <c r="K7" s="307">
        <v>30</v>
      </c>
      <c r="L7" s="307"/>
      <c r="M7" s="307"/>
      <c r="N7" s="307"/>
      <c r="O7" s="347">
        <f>SUM(K7:N7)</f>
        <v>30</v>
      </c>
      <c r="P7" s="284"/>
      <c r="Q7" s="49">
        <f>+(J7*I7/100)/30*(K7+L7)</f>
        <v>330000</v>
      </c>
      <c r="R7" s="50">
        <f>+(J7)/30*N7</f>
        <v>0</v>
      </c>
      <c r="S7" s="50"/>
      <c r="T7" s="50"/>
      <c r="U7" s="441"/>
      <c r="V7" s="308"/>
      <c r="W7" s="294"/>
      <c r="X7" s="295">
        <f>SUM(Q7:W7)+AC7</f>
        <v>330000</v>
      </c>
      <c r="Y7" s="308"/>
      <c r="Z7" s="294"/>
      <c r="AA7" s="295">
        <f>SUM(Y7:Z7)</f>
        <v>0</v>
      </c>
      <c r="AC7" s="52"/>
      <c r="AD7" s="52"/>
      <c r="AE7" s="52"/>
      <c r="AF7" s="53"/>
      <c r="AG7" s="296">
        <f>+'CARGAS SOCIALES'!BD26</f>
        <v>56100</v>
      </c>
      <c r="AH7" s="309"/>
      <c r="AI7" s="297">
        <f>ROUNDUP(X7+AA7-AG7-AH7,0)</f>
        <v>273900</v>
      </c>
      <c r="AJ7" s="348">
        <f>280000*1.103</f>
        <v>308840</v>
      </c>
      <c r="AK7" s="196" t="s">
        <v>255</v>
      </c>
      <c r="AL7" s="196">
        <f>+AJ7/30*31</f>
        <v>319134.66666666663</v>
      </c>
    </row>
    <row r="8" spans="1:38" s="51" customFormat="1" ht="21" customHeight="1" x14ac:dyDescent="0.2">
      <c r="A8" s="298"/>
      <c r="B8" s="299"/>
      <c r="C8" s="298"/>
      <c r="D8" s="300"/>
      <c r="E8" s="298"/>
      <c r="F8" s="298"/>
      <c r="G8" s="301"/>
      <c r="H8" s="154"/>
      <c r="I8" s="298"/>
      <c r="J8" s="267">
        <f>SUM(J6:J6)</f>
        <v>141600</v>
      </c>
      <c r="K8" s="149"/>
      <c r="L8" s="149"/>
      <c r="M8" s="149"/>
      <c r="N8" s="149"/>
      <c r="O8" s="149"/>
      <c r="P8" s="267">
        <f>SUM(P6:P7)</f>
        <v>141600</v>
      </c>
      <c r="Q8" s="267">
        <f t="shared" ref="Q8:AA8" si="0">SUM(Q6:Q7)</f>
        <v>471600</v>
      </c>
      <c r="R8" s="267">
        <f t="shared" si="0"/>
        <v>0</v>
      </c>
      <c r="S8" s="267">
        <f t="shared" si="0"/>
        <v>230959.53500000003</v>
      </c>
      <c r="T8" s="267">
        <f t="shared" si="0"/>
        <v>9871.6</v>
      </c>
      <c r="U8" s="267">
        <f t="shared" si="0"/>
        <v>0</v>
      </c>
      <c r="V8" s="267">
        <f t="shared" si="0"/>
        <v>0</v>
      </c>
      <c r="W8" s="267">
        <f t="shared" si="0"/>
        <v>0</v>
      </c>
      <c r="X8" s="267">
        <f t="shared" si="0"/>
        <v>712431.13500000001</v>
      </c>
      <c r="Y8" s="267">
        <f t="shared" si="0"/>
        <v>0</v>
      </c>
      <c r="Z8" s="267">
        <f t="shared" si="0"/>
        <v>0</v>
      </c>
      <c r="AA8" s="267">
        <f t="shared" si="0"/>
        <v>0</v>
      </c>
      <c r="AC8" s="267">
        <f>SUM(AC6:AC6)</f>
        <v>0</v>
      </c>
      <c r="AD8" s="267">
        <f>SUM(AD6:AD6)</f>
        <v>0</v>
      </c>
      <c r="AE8" s="267">
        <f>SUM(AE6:AE6)</f>
        <v>0</v>
      </c>
      <c r="AF8" s="53"/>
      <c r="AG8" s="267">
        <f>SUM(AG6:AG7)</f>
        <v>134498.382675</v>
      </c>
      <c r="AH8" s="267">
        <f t="shared" ref="AH8:AJ8" si="1">SUM(AH6:AH7)</f>
        <v>0</v>
      </c>
      <c r="AI8" s="267">
        <f t="shared" si="1"/>
        <v>577933</v>
      </c>
      <c r="AJ8" s="267">
        <f t="shared" si="1"/>
        <v>488840</v>
      </c>
      <c r="AK8" s="51" t="e">
        <f>+#REF!/30*24</f>
        <v>#REF!</v>
      </c>
      <c r="AL8" s="196">
        <f>+AL7-AI7</f>
        <v>45234.666666666628</v>
      </c>
    </row>
    <row r="9" spans="1:38" s="9" customFormat="1" ht="13.5" customHeight="1" x14ac:dyDescent="0.2">
      <c r="B9" s="22"/>
      <c r="C9" s="8"/>
      <c r="D9" s="8"/>
      <c r="E9" s="10"/>
      <c r="F9" s="10"/>
      <c r="G9" s="8"/>
      <c r="H9" s="7"/>
      <c r="I9" s="7"/>
      <c r="J9" s="12"/>
      <c r="K9" s="12"/>
      <c r="L9" s="12"/>
      <c r="M9" s="12"/>
      <c r="N9" s="12"/>
      <c r="O9" s="12"/>
      <c r="P9" s="12"/>
      <c r="Q9" s="12"/>
      <c r="R9" s="7"/>
      <c r="S9" s="7"/>
      <c r="T9" s="7"/>
      <c r="U9" s="56"/>
      <c r="V9" s="56"/>
      <c r="W9" s="10"/>
      <c r="X9" s="7"/>
      <c r="Y9" s="7"/>
      <c r="AB9" s="7"/>
      <c r="AC9" s="7"/>
    </row>
    <row r="10" spans="1:38" s="9" customFormat="1" ht="13.5" customHeight="1" x14ac:dyDescent="0.2">
      <c r="A10" s="3"/>
      <c r="B10" s="7"/>
      <c r="C10" s="7"/>
      <c r="D10" s="18"/>
      <c r="E10" s="5"/>
      <c r="F10" s="5"/>
      <c r="G10" s="11"/>
      <c r="H10" s="3"/>
      <c r="I10" s="3"/>
      <c r="J10" s="302"/>
      <c r="K10" s="3"/>
      <c r="L10" s="3"/>
      <c r="M10" s="3"/>
      <c r="N10" s="3"/>
      <c r="O10" s="3"/>
      <c r="P10" s="302"/>
      <c r="Q10" s="302"/>
      <c r="R10" s="3"/>
      <c r="S10" s="3"/>
      <c r="T10" s="3"/>
      <c r="U10" s="10"/>
      <c r="X10" s="7"/>
      <c r="Y10" s="7"/>
      <c r="Z10" s="7"/>
      <c r="AA10" s="7"/>
      <c r="AB10" s="7"/>
      <c r="AC10" s="7"/>
      <c r="AD10" s="7"/>
      <c r="AE10" s="7"/>
      <c r="AH10" s="9" t="s">
        <v>122</v>
      </c>
      <c r="AI10" s="289"/>
      <c r="AJ10" s="9">
        <f>111723+139624</f>
        <v>251347</v>
      </c>
    </row>
    <row r="11" spans="1:38" s="9" customFormat="1" ht="13.5" customHeight="1" x14ac:dyDescent="0.2">
      <c r="A11" s="3"/>
      <c r="B11" s="7"/>
      <c r="C11" s="13"/>
      <c r="D11" s="21"/>
      <c r="E11" s="6"/>
      <c r="F11" s="6"/>
      <c r="G11" s="11"/>
      <c r="H11" s="3"/>
      <c r="I11" s="3"/>
      <c r="J11" s="302"/>
      <c r="K11" s="3"/>
      <c r="L11" s="3"/>
      <c r="M11" s="3"/>
      <c r="N11" s="3"/>
      <c r="O11" s="3"/>
      <c r="P11" s="302"/>
      <c r="Q11" s="302"/>
      <c r="R11" s="3"/>
      <c r="S11" s="3"/>
      <c r="T11" s="3"/>
      <c r="U11" s="7"/>
      <c r="V11" s="7"/>
      <c r="W11" s="7"/>
      <c r="X11" s="1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K11" s="9">
        <f>10.3/100</f>
        <v>0.10300000000000001</v>
      </c>
    </row>
    <row r="12" spans="1:38" s="9" customFormat="1" ht="13.5" customHeight="1" x14ac:dyDescent="0.2">
      <c r="A12" s="3"/>
      <c r="B12" s="16"/>
      <c r="C12" s="58"/>
      <c r="D12" s="7"/>
      <c r="E12" s="7"/>
      <c r="F12" s="7"/>
      <c r="G12" s="11"/>
      <c r="H12" s="3"/>
      <c r="I12" s="3"/>
      <c r="J12" s="310"/>
      <c r="K12" s="3"/>
      <c r="L12" s="311"/>
      <c r="M12" s="302"/>
      <c r="N12" s="302"/>
      <c r="O12" s="3"/>
      <c r="P12" s="302"/>
      <c r="Q12" s="310"/>
      <c r="R12" s="3"/>
      <c r="S12" s="302"/>
      <c r="T12" s="3"/>
      <c r="U12" s="7"/>
      <c r="V12" s="12"/>
      <c r="W12" s="7"/>
      <c r="X12" s="7"/>
      <c r="Y12" s="7"/>
      <c r="Z12" s="312"/>
      <c r="AA12" s="7"/>
      <c r="AB12" s="7"/>
      <c r="AC12" s="7"/>
      <c r="AD12" s="312"/>
      <c r="AE12" s="7"/>
      <c r="AF12" s="7"/>
      <c r="AG12" s="7"/>
      <c r="AH12" s="7"/>
      <c r="AI12" s="7"/>
    </row>
    <row r="13" spans="1:38" s="9" customFormat="1" ht="13.5" customHeight="1" x14ac:dyDescent="0.2">
      <c r="A13" s="3"/>
      <c r="B13" s="12"/>
      <c r="C13" s="17"/>
      <c r="D13" s="18"/>
      <c r="E13" s="5"/>
      <c r="F13" s="5"/>
      <c r="G13" s="11"/>
      <c r="H13" s="3"/>
      <c r="I13" s="3"/>
      <c r="J13" s="310"/>
      <c r="K13" s="3"/>
      <c r="L13" s="311"/>
      <c r="M13" s="3"/>
      <c r="N13" s="3"/>
      <c r="O13" s="3"/>
      <c r="P13" s="302"/>
      <c r="Q13" s="310"/>
      <c r="U13" s="7"/>
      <c r="V13" s="7"/>
      <c r="W13" s="7"/>
      <c r="X13" s="12"/>
      <c r="Y13" s="7"/>
      <c r="Z13" s="312"/>
      <c r="AA13" s="7"/>
      <c r="AB13" s="7"/>
      <c r="AC13" s="7"/>
      <c r="AD13" s="312"/>
      <c r="AE13" s="7"/>
      <c r="AF13" s="7"/>
      <c r="AG13" s="7"/>
      <c r="AH13" s="7" t="s">
        <v>122</v>
      </c>
      <c r="AI13" s="7"/>
    </row>
    <row r="14" spans="1:38" s="9" customFormat="1" ht="13.5" customHeight="1" x14ac:dyDescent="0.2">
      <c r="A14" s="3"/>
      <c r="B14" s="12"/>
      <c r="C14" s="17"/>
      <c r="D14" s="19"/>
      <c r="E14" s="5"/>
      <c r="F14" s="5"/>
      <c r="G14" s="11"/>
      <c r="H14" s="3"/>
      <c r="I14" s="3"/>
      <c r="J14" s="311"/>
      <c r="K14" s="313"/>
      <c r="L14" s="311"/>
      <c r="M14" s="59"/>
      <c r="N14" s="59"/>
      <c r="P14" s="302"/>
      <c r="Q14" s="310"/>
      <c r="U14" s="7"/>
      <c r="V14" s="12"/>
      <c r="X14" s="7"/>
      <c r="Z14" s="312"/>
      <c r="AA14" s="7"/>
      <c r="AD14" s="312"/>
      <c r="AE14" s="7"/>
    </row>
    <row r="15" spans="1:38" s="9" customFormat="1" ht="13.5" customHeight="1" x14ac:dyDescent="0.2">
      <c r="A15" s="3"/>
      <c r="B15" s="303"/>
      <c r="C15" s="17"/>
      <c r="D15" s="20"/>
      <c r="E15" s="6"/>
      <c r="F15" s="6"/>
      <c r="G15" s="11"/>
      <c r="H15" s="3"/>
      <c r="I15" s="3"/>
      <c r="J15" s="311"/>
      <c r="K15" s="313"/>
      <c r="L15" s="311"/>
      <c r="M15" s="59"/>
      <c r="N15" s="59"/>
      <c r="O15" s="3"/>
      <c r="P15" s="3"/>
      <c r="Q15" s="310"/>
      <c r="R15" s="3"/>
      <c r="S15" s="3"/>
      <c r="T15" s="302" t="e">
        <f>+#REF!+#REF!+#REF!+#REF!+#REF!+1763.59</f>
        <v>#REF!</v>
      </c>
      <c r="V15" s="12"/>
      <c r="W15" s="7"/>
      <c r="X15" s="12"/>
      <c r="Y15" s="7"/>
      <c r="Z15" s="12"/>
      <c r="AA15" s="12"/>
      <c r="AB15" s="7"/>
      <c r="AC15" s="7"/>
      <c r="AD15" s="12"/>
      <c r="AE15" s="12"/>
      <c r="AF15" s="7"/>
      <c r="AG15" s="7"/>
      <c r="AH15" s="7" t="s">
        <v>122</v>
      </c>
      <c r="AI15" s="7"/>
    </row>
    <row r="16" spans="1:38" s="9" customFormat="1" ht="13.5" customHeight="1" x14ac:dyDescent="0.2">
      <c r="A16" s="3"/>
      <c r="B16" s="3"/>
      <c r="C16" s="3"/>
      <c r="G16" s="11"/>
      <c r="H16" s="59"/>
      <c r="I16" s="3"/>
      <c r="J16" s="311"/>
      <c r="K16" s="17"/>
      <c r="L16" s="311"/>
      <c r="M16" s="3"/>
      <c r="N16" s="3"/>
      <c r="O16" s="3"/>
      <c r="P16" s="314"/>
      <c r="Q16" s="310"/>
      <c r="R16" s="3"/>
      <c r="S16" s="3"/>
      <c r="T16" s="3"/>
      <c r="U16" s="3"/>
      <c r="V16" s="12"/>
      <c r="W16" s="7"/>
      <c r="X16" s="12"/>
      <c r="Y16" s="7"/>
      <c r="Z16" s="12"/>
      <c r="AA16" s="12" t="s">
        <v>122</v>
      </c>
      <c r="AB16" s="7"/>
      <c r="AC16" s="7"/>
      <c r="AD16" s="12"/>
      <c r="AE16" s="12" t="s">
        <v>122</v>
      </c>
      <c r="AF16" s="7"/>
      <c r="AG16" s="7"/>
      <c r="AH16" s="7"/>
      <c r="AI16" s="7"/>
    </row>
    <row r="17" spans="7:35" x14ac:dyDescent="0.2">
      <c r="J17" s="311"/>
      <c r="K17" s="17"/>
      <c r="L17" s="311"/>
      <c r="P17" s="310"/>
      <c r="Q17" s="310"/>
      <c r="V17" s="9"/>
      <c r="W17" s="7"/>
      <c r="X17" s="7"/>
      <c r="Y17" s="7"/>
      <c r="Z17" s="315"/>
      <c r="AA17" s="7"/>
      <c r="AB17" s="7"/>
      <c r="AC17" s="7"/>
      <c r="AD17" s="315"/>
      <c r="AE17" s="7"/>
      <c r="AF17" s="7"/>
      <c r="AG17" s="7"/>
      <c r="AH17" s="7" t="s">
        <v>122</v>
      </c>
      <c r="AI17" s="7"/>
    </row>
    <row r="18" spans="7:35" x14ac:dyDescent="0.2">
      <c r="J18" s="17"/>
      <c r="K18" s="17"/>
      <c r="L18" s="17"/>
      <c r="V18" s="7"/>
      <c r="X18" s="7"/>
      <c r="Y18" s="9"/>
      <c r="Z18" s="7"/>
      <c r="AA18" s="7"/>
      <c r="AB18" s="9"/>
      <c r="AC18" s="9"/>
      <c r="AD18" s="7"/>
      <c r="AE18" s="7"/>
      <c r="AF18" s="9"/>
      <c r="AG18" s="9"/>
      <c r="AH18" s="9"/>
      <c r="AI18" s="9"/>
    </row>
    <row r="19" spans="7:35" x14ac:dyDescent="0.2">
      <c r="J19" s="313"/>
      <c r="K19" s="17"/>
      <c r="L19" s="17"/>
      <c r="P19" s="302"/>
      <c r="V19" s="12"/>
      <c r="W19" s="7"/>
      <c r="X19" s="12"/>
      <c r="Y19" s="7"/>
      <c r="Z19" s="12"/>
      <c r="AA19" s="12"/>
      <c r="AB19" s="7"/>
      <c r="AC19" s="7"/>
      <c r="AD19" s="12"/>
      <c r="AE19" s="12"/>
      <c r="AF19" s="7"/>
      <c r="AG19" s="7" t="s">
        <v>122</v>
      </c>
      <c r="AH19" s="7"/>
      <c r="AI19" s="7"/>
    </row>
    <row r="20" spans="7:35" x14ac:dyDescent="0.2">
      <c r="J20" s="17"/>
      <c r="K20" s="17"/>
      <c r="L20" s="17"/>
      <c r="R20" s="316"/>
      <c r="S20" s="316"/>
      <c r="T20" s="316"/>
      <c r="V20" s="7"/>
      <c r="W20" s="9"/>
      <c r="X20" s="7"/>
      <c r="Y20" s="9"/>
      <c r="Z20" s="7"/>
      <c r="AA20" s="7"/>
      <c r="AB20" s="9"/>
      <c r="AC20" s="9"/>
      <c r="AD20" s="7"/>
      <c r="AE20" s="7"/>
      <c r="AF20" s="9"/>
      <c r="AG20" s="9"/>
      <c r="AH20" s="9"/>
      <c r="AI20" s="9"/>
    </row>
    <row r="21" spans="7:35" x14ac:dyDescent="0.2">
      <c r="J21" s="17"/>
      <c r="K21" s="17"/>
      <c r="L21" s="17"/>
      <c r="Q21" s="317"/>
      <c r="V21" s="12"/>
      <c r="W21" s="7"/>
      <c r="X21" s="12"/>
      <c r="Y21" s="7"/>
      <c r="Z21" s="12"/>
      <c r="AA21" s="12"/>
      <c r="AB21" s="7"/>
      <c r="AC21" s="7"/>
      <c r="AD21" s="12"/>
      <c r="AE21" s="12"/>
      <c r="AF21" s="7"/>
      <c r="AG21" s="7"/>
      <c r="AH21" s="7"/>
      <c r="AI21" s="7"/>
    </row>
    <row r="22" spans="7:35" x14ac:dyDescent="0.2">
      <c r="J22" s="17"/>
      <c r="K22" s="17"/>
      <c r="L22" s="17"/>
      <c r="V22" s="12"/>
      <c r="W22" s="7"/>
      <c r="X22" s="12"/>
      <c r="Y22" s="7"/>
      <c r="Z22" s="12"/>
      <c r="AA22" s="12"/>
      <c r="AB22" s="7"/>
      <c r="AC22" s="7"/>
      <c r="AD22" s="12"/>
      <c r="AE22" s="12"/>
      <c r="AF22" s="7"/>
      <c r="AG22" s="7"/>
      <c r="AH22" s="7"/>
      <c r="AI22" s="7"/>
    </row>
    <row r="23" spans="7:35" ht="12" customHeight="1" x14ac:dyDescent="0.2">
      <c r="J23" s="17"/>
      <c r="K23" s="17"/>
      <c r="L23" s="17"/>
    </row>
    <row r="24" spans="7:35" ht="12" customHeight="1" x14ac:dyDescent="0.2">
      <c r="J24" s="17"/>
      <c r="K24" s="17"/>
      <c r="L24" s="17"/>
      <c r="O24" s="3" t="s">
        <v>122</v>
      </c>
    </row>
    <row r="25" spans="7:35" ht="12" customHeight="1" x14ac:dyDescent="0.2">
      <c r="J25" s="17"/>
      <c r="K25" s="17"/>
      <c r="L25" s="17"/>
    </row>
    <row r="26" spans="7:35" ht="12" customHeight="1" x14ac:dyDescent="0.2">
      <c r="J26" s="17"/>
      <c r="K26" s="17"/>
      <c r="L26" s="17"/>
    </row>
    <row r="27" spans="7:35" ht="12" customHeight="1" x14ac:dyDescent="0.2">
      <c r="J27" s="17"/>
      <c r="K27" s="17"/>
      <c r="L27" s="17"/>
    </row>
    <row r="28" spans="7:35" ht="12" customHeight="1" x14ac:dyDescent="0.2">
      <c r="J28" s="17"/>
      <c r="K28" s="17"/>
      <c r="L28" s="17"/>
    </row>
    <row r="32" spans="7:35" ht="12" customHeight="1" x14ac:dyDescent="0.2">
      <c r="G32" s="3"/>
    </row>
    <row r="33" spans="7:7" ht="12" customHeight="1" x14ac:dyDescent="0.2">
      <c r="G33" s="3"/>
    </row>
  </sheetData>
  <mergeCells count="5">
    <mergeCell ref="AJ4:AJ5"/>
    <mergeCell ref="AG4:AG5"/>
    <mergeCell ref="AC4:AE4"/>
    <mergeCell ref="AH4:AH5"/>
    <mergeCell ref="AI4:AI5"/>
  </mergeCells>
  <pageMargins left="0.15748031496062992" right="0.15748031496062992" top="0.39370078740157483" bottom="0.39370078740157483" header="0" footer="0"/>
  <pageSetup paperSize="9" scale="4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ummaryRight="0"/>
  </sheetPr>
  <dimension ref="A1:AR34"/>
  <sheetViews>
    <sheetView workbookViewId="0">
      <pane xSplit="9" ySplit="8" topLeftCell="AJ17" activePane="bottomRight" state="frozen"/>
      <selection pane="topRight" activeCell="I1" sqref="I1"/>
      <selection pane="bottomLeft" activeCell="A9" sqref="A9"/>
      <selection pane="bottomRight" activeCell="AN19" sqref="AN19"/>
    </sheetView>
  </sheetViews>
  <sheetFormatPr baseColWidth="10" defaultRowHeight="13.5" customHeight="1" x14ac:dyDescent="0.2"/>
  <cols>
    <col min="1" max="1" width="3" style="90" bestFit="1" customWidth="1"/>
    <col min="2" max="2" width="14.7109375" style="90" customWidth="1"/>
    <col min="3" max="3" width="4" style="90" customWidth="1"/>
    <col min="4" max="4" width="27.7109375" style="90" customWidth="1"/>
    <col min="5" max="5" width="11.140625" style="90" customWidth="1"/>
    <col min="6" max="6" width="9.7109375" style="89" customWidth="1"/>
    <col min="7" max="7" width="5.85546875" style="89" customWidth="1"/>
    <col min="8" max="8" width="10.140625" style="90" customWidth="1"/>
    <col min="9" max="9" width="9.85546875" style="90" customWidth="1"/>
    <col min="10" max="13" width="8.5703125" style="90" customWidth="1"/>
    <col min="14" max="14" width="8.5703125" style="126" customWidth="1"/>
    <col min="15" max="17" width="8.5703125" style="104" customWidth="1"/>
    <col min="18" max="18" width="8.5703125" style="90" customWidth="1"/>
    <col min="19" max="19" width="6.28515625" style="90" customWidth="1"/>
    <col min="20" max="20" width="11.140625" style="90" customWidth="1"/>
    <col min="21" max="21" width="10.5703125" style="127" customWidth="1"/>
    <col min="22" max="25" width="9.7109375" style="110" customWidth="1"/>
    <col min="26" max="26" width="11.28515625" style="90" customWidth="1"/>
    <col min="27" max="27" width="10.85546875" style="90" customWidth="1"/>
    <col min="28" max="31" width="9.7109375" style="90" customWidth="1"/>
    <col min="32" max="32" width="10.140625" style="90" bestFit="1" customWidth="1"/>
    <col min="33" max="33" width="10.85546875" style="90" customWidth="1"/>
    <col min="34" max="34" width="10.42578125" style="90" customWidth="1"/>
    <col min="35" max="35" width="9.28515625" style="90" customWidth="1"/>
    <col min="36" max="36" width="10.5703125" style="90" customWidth="1"/>
    <col min="37" max="37" width="10" style="90" customWidth="1"/>
    <col min="38" max="40" width="10.42578125" style="90" customWidth="1"/>
    <col min="41" max="41" width="10.5703125" style="90" customWidth="1"/>
    <col min="42" max="16384" width="11.42578125" style="104"/>
  </cols>
  <sheetData>
    <row r="1" spans="1:44" ht="18" x14ac:dyDescent="0.2">
      <c r="A1" s="97" t="str">
        <f>+'NOMINA MES'!A1</f>
        <v>COOP AGRICOLA GANADERA AARON CASTELLANOS</v>
      </c>
      <c r="B1" s="97"/>
      <c r="C1" s="106"/>
      <c r="D1" s="107"/>
      <c r="E1" s="107"/>
      <c r="F1" s="104"/>
      <c r="G1" s="104"/>
      <c r="H1" s="104"/>
      <c r="I1" s="104"/>
      <c r="J1" s="115"/>
      <c r="K1" s="104"/>
      <c r="L1" s="104"/>
      <c r="M1" s="361">
        <v>1</v>
      </c>
      <c r="N1" s="361">
        <v>0.65</v>
      </c>
      <c r="O1" s="110" t="s">
        <v>172</v>
      </c>
      <c r="P1" s="110"/>
      <c r="Q1" s="110"/>
      <c r="R1" s="110"/>
      <c r="S1" s="110"/>
      <c r="T1" s="110">
        <f>5*5+4</f>
        <v>29</v>
      </c>
      <c r="U1" s="109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258"/>
      <c r="AI1" s="104"/>
      <c r="AJ1" s="104"/>
      <c r="AK1" s="104"/>
      <c r="AL1" s="104"/>
      <c r="AM1" s="104"/>
      <c r="AN1" s="104"/>
      <c r="AO1" s="104"/>
    </row>
    <row r="2" spans="1:44" ht="13.5" customHeight="1" x14ac:dyDescent="0.2">
      <c r="A2" s="111"/>
      <c r="B2" s="104"/>
      <c r="C2" s="112"/>
      <c r="D2" s="104"/>
      <c r="E2" s="104"/>
      <c r="F2" s="104"/>
      <c r="G2" s="104"/>
      <c r="H2" s="104"/>
      <c r="I2" s="104"/>
      <c r="J2" s="115"/>
      <c r="K2" s="104"/>
      <c r="L2" s="118" t="s">
        <v>67</v>
      </c>
      <c r="M2" s="157">
        <f>9*8+2*4</f>
        <v>80</v>
      </c>
      <c r="N2" s="157">
        <f>9*5+2*4</f>
        <v>53</v>
      </c>
      <c r="O2" s="110" t="s">
        <v>173</v>
      </c>
      <c r="P2" s="110"/>
      <c r="Q2" s="110"/>
      <c r="R2" s="110"/>
      <c r="S2" s="110"/>
      <c r="T2" s="104">
        <f>5*8+4</f>
        <v>44</v>
      </c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259"/>
      <c r="AI2" s="104"/>
      <c r="AJ2" s="104"/>
      <c r="AK2" s="104"/>
      <c r="AL2" s="104"/>
      <c r="AM2" s="104"/>
      <c r="AN2" s="104"/>
      <c r="AO2" s="104"/>
    </row>
    <row r="3" spans="1:44" ht="13.5" customHeight="1" x14ac:dyDescent="0.2">
      <c r="A3" s="117"/>
      <c r="B3" s="81" t="s">
        <v>66</v>
      </c>
      <c r="C3" s="112"/>
      <c r="D3" s="82">
        <f>+'NOMINA MES'!J1</f>
        <v>44926</v>
      </c>
      <c r="E3" s="104"/>
      <c r="F3" s="113"/>
      <c r="G3" s="113"/>
      <c r="H3" s="108"/>
      <c r="I3" s="114"/>
      <c r="J3" s="115"/>
      <c r="K3" s="104"/>
      <c r="L3" s="118" t="s">
        <v>53</v>
      </c>
      <c r="M3" s="157">
        <v>16</v>
      </c>
      <c r="N3" s="157">
        <v>10</v>
      </c>
      <c r="O3" s="110"/>
      <c r="P3" s="110"/>
      <c r="Q3" s="110"/>
      <c r="R3" s="110"/>
      <c r="S3" s="110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258"/>
      <c r="AI3" s="104"/>
      <c r="AJ3" s="104"/>
      <c r="AK3" s="104"/>
      <c r="AL3" s="104"/>
      <c r="AM3" s="104"/>
      <c r="AN3" s="104"/>
      <c r="AO3" s="104"/>
    </row>
    <row r="4" spans="1:44" ht="13.5" customHeight="1" x14ac:dyDescent="0.2">
      <c r="A4" s="104"/>
      <c r="B4" s="104"/>
      <c r="C4" s="112"/>
      <c r="D4" s="104"/>
      <c r="E4" s="104"/>
      <c r="F4" s="463" t="s">
        <v>128</v>
      </c>
      <c r="G4" s="464"/>
      <c r="H4" s="464"/>
      <c r="I4" s="465"/>
      <c r="J4" s="104"/>
      <c r="K4" s="104"/>
      <c r="L4" s="57" t="s">
        <v>88</v>
      </c>
      <c r="M4" s="167">
        <f>SUM(M2:M3)</f>
        <v>96</v>
      </c>
      <c r="N4" s="167">
        <f>SUM(N2:N3)</f>
        <v>63</v>
      </c>
      <c r="O4" s="110"/>
      <c r="P4" s="110"/>
      <c r="Q4" s="110"/>
      <c r="R4" s="110"/>
      <c r="S4" s="110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258"/>
      <c r="AI4" s="104"/>
      <c r="AJ4" s="104"/>
      <c r="AK4" s="104"/>
      <c r="AL4" s="104"/>
      <c r="AM4" s="104"/>
      <c r="AN4" s="104"/>
      <c r="AO4" s="104"/>
    </row>
    <row r="5" spans="1:44" ht="13.5" customHeight="1" thickBot="1" x14ac:dyDescent="0.25">
      <c r="A5" s="104"/>
      <c r="B5" s="119"/>
      <c r="C5" s="112"/>
      <c r="D5" s="104"/>
      <c r="E5" s="113"/>
      <c r="F5" s="466" t="s">
        <v>129</v>
      </c>
      <c r="G5" s="467"/>
      <c r="H5" s="467"/>
      <c r="I5" s="468"/>
      <c r="J5" s="104"/>
      <c r="K5" s="104"/>
      <c r="L5" s="104"/>
      <c r="M5" s="104"/>
      <c r="N5" s="104"/>
      <c r="O5" s="110"/>
      <c r="P5" s="110"/>
      <c r="Q5" s="110"/>
      <c r="R5" s="110"/>
      <c r="S5" s="110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258"/>
      <c r="AI5" s="104"/>
      <c r="AJ5" s="104"/>
      <c r="AK5" s="104"/>
      <c r="AL5" s="104"/>
      <c r="AM5" s="104"/>
      <c r="AN5" s="104"/>
      <c r="AO5" s="104"/>
    </row>
    <row r="6" spans="1:44" ht="13.5" customHeight="1" thickBot="1" x14ac:dyDescent="0.25">
      <c r="A6" s="104"/>
      <c r="B6" s="117"/>
      <c r="C6" s="111"/>
      <c r="D6" s="113"/>
      <c r="E6" s="113"/>
      <c r="F6" s="120"/>
      <c r="G6" s="120"/>
      <c r="H6" s="113"/>
      <c r="I6" s="104"/>
      <c r="J6" s="170" t="s">
        <v>180</v>
      </c>
      <c r="K6" s="170" t="s">
        <v>96</v>
      </c>
      <c r="L6" s="104"/>
      <c r="M6" s="104"/>
      <c r="N6" s="104"/>
      <c r="O6" s="109"/>
      <c r="P6" s="109"/>
      <c r="Q6" s="109"/>
      <c r="R6" s="116"/>
      <c r="S6" s="110"/>
      <c r="T6" s="110"/>
      <c r="U6" s="110"/>
      <c r="V6" s="104"/>
      <c r="W6" s="104"/>
      <c r="X6" s="104"/>
      <c r="Y6" s="104"/>
      <c r="Z6" s="104"/>
      <c r="AA6" s="192">
        <v>4669</v>
      </c>
      <c r="AB6" s="104"/>
      <c r="AC6" s="104"/>
      <c r="AD6" s="104"/>
      <c r="AE6" s="104"/>
      <c r="AF6" s="264">
        <v>0</v>
      </c>
      <c r="AG6" s="104"/>
      <c r="AH6" s="104"/>
      <c r="AI6" s="104"/>
      <c r="AJ6" s="104"/>
      <c r="AK6" s="104"/>
      <c r="AL6" s="104"/>
      <c r="AM6" s="191" t="s">
        <v>102</v>
      </c>
      <c r="AN6" s="104"/>
      <c r="AO6" s="104"/>
    </row>
    <row r="7" spans="1:44" ht="13.5" customHeight="1" x14ac:dyDescent="0.2">
      <c r="A7" s="469"/>
      <c r="B7" s="474" t="s">
        <v>19</v>
      </c>
      <c r="C7" s="474" t="s">
        <v>6</v>
      </c>
      <c r="D7" s="474" t="s">
        <v>20</v>
      </c>
      <c r="E7" s="474" t="s">
        <v>3</v>
      </c>
      <c r="F7" s="474" t="s">
        <v>68</v>
      </c>
      <c r="G7" s="474" t="s">
        <v>174</v>
      </c>
      <c r="H7" s="469" t="s">
        <v>69</v>
      </c>
      <c r="I7" s="474" t="s">
        <v>70</v>
      </c>
      <c r="J7" s="477" t="s">
        <v>51</v>
      </c>
      <c r="K7" s="478"/>
      <c r="L7" s="478"/>
      <c r="M7" s="478"/>
      <c r="N7" s="478"/>
      <c r="O7" s="478"/>
      <c r="P7" s="478"/>
      <c r="Q7" s="478"/>
      <c r="R7" s="478"/>
      <c r="S7" s="478"/>
      <c r="T7" s="471" t="s">
        <v>52</v>
      </c>
      <c r="U7" s="472"/>
      <c r="V7" s="472"/>
      <c r="W7" s="472"/>
      <c r="X7" s="472"/>
      <c r="Y7" s="472"/>
      <c r="Z7" s="472"/>
      <c r="AA7" s="472"/>
      <c r="AB7" s="473"/>
      <c r="AC7" s="393"/>
      <c r="AD7" s="448"/>
      <c r="AE7" s="469" t="s">
        <v>71</v>
      </c>
      <c r="AF7" s="469" t="s">
        <v>2</v>
      </c>
      <c r="AG7" s="469" t="s">
        <v>72</v>
      </c>
      <c r="AH7" s="480" t="s">
        <v>73</v>
      </c>
      <c r="AI7" s="479" t="s">
        <v>74</v>
      </c>
      <c r="AJ7" s="475"/>
      <c r="AK7" s="475"/>
      <c r="AL7" s="469" t="s">
        <v>75</v>
      </c>
      <c r="AM7" s="476" t="s">
        <v>90</v>
      </c>
      <c r="AN7" s="469" t="s">
        <v>143</v>
      </c>
      <c r="AO7" s="469" t="s">
        <v>28</v>
      </c>
    </row>
    <row r="8" spans="1:44" ht="33.75" customHeight="1" x14ac:dyDescent="0.2">
      <c r="A8" s="470"/>
      <c r="B8" s="475" t="s">
        <v>69</v>
      </c>
      <c r="C8" s="475" t="s">
        <v>69</v>
      </c>
      <c r="D8" s="475" t="s">
        <v>69</v>
      </c>
      <c r="E8" s="475" t="s">
        <v>69</v>
      </c>
      <c r="F8" s="475" t="s">
        <v>69</v>
      </c>
      <c r="G8" s="475" t="s">
        <v>69</v>
      </c>
      <c r="H8" s="470"/>
      <c r="I8" s="475" t="s">
        <v>70</v>
      </c>
      <c r="J8" s="99" t="s">
        <v>57</v>
      </c>
      <c r="K8" s="98" t="s">
        <v>76</v>
      </c>
      <c r="L8" s="98" t="s">
        <v>54</v>
      </c>
      <c r="M8" s="98" t="s">
        <v>77</v>
      </c>
      <c r="N8" s="98" t="s">
        <v>137</v>
      </c>
      <c r="O8" s="98" t="s">
        <v>55</v>
      </c>
      <c r="P8" s="392" t="s">
        <v>202</v>
      </c>
      <c r="Q8" s="446" t="s">
        <v>260</v>
      </c>
      <c r="R8" s="146" t="s">
        <v>56</v>
      </c>
      <c r="S8" s="98" t="s">
        <v>7</v>
      </c>
      <c r="T8" s="99" t="s">
        <v>57</v>
      </c>
      <c r="U8" s="98" t="s">
        <v>76</v>
      </c>
      <c r="V8" s="98" t="s">
        <v>79</v>
      </c>
      <c r="W8" s="98" t="s">
        <v>54</v>
      </c>
      <c r="X8" s="98" t="s">
        <v>80</v>
      </c>
      <c r="Y8" s="98" t="s">
        <v>58</v>
      </c>
      <c r="Z8" s="98" t="s">
        <v>78</v>
      </c>
      <c r="AA8" s="98" t="s">
        <v>87</v>
      </c>
      <c r="AB8" s="98" t="s">
        <v>7</v>
      </c>
      <c r="AC8" s="391" t="s">
        <v>203</v>
      </c>
      <c r="AD8" s="447" t="s">
        <v>259</v>
      </c>
      <c r="AE8" s="470"/>
      <c r="AF8" s="470"/>
      <c r="AG8" s="470"/>
      <c r="AH8" s="481"/>
      <c r="AI8" s="99" t="s">
        <v>59</v>
      </c>
      <c r="AJ8" s="99" t="s">
        <v>60</v>
      </c>
      <c r="AK8" s="99" t="s">
        <v>138</v>
      </c>
      <c r="AL8" s="470"/>
      <c r="AM8" s="470"/>
      <c r="AN8" s="470"/>
      <c r="AO8" s="470"/>
    </row>
    <row r="9" spans="1:44" s="350" customFormat="1" ht="20.100000000000001" customHeight="1" x14ac:dyDescent="0.2">
      <c r="A9" s="165">
        <v>1</v>
      </c>
      <c r="B9" s="201">
        <v>23407867149</v>
      </c>
      <c r="C9" s="202">
        <v>3</v>
      </c>
      <c r="D9" s="365" t="s">
        <v>149</v>
      </c>
      <c r="E9" s="203">
        <v>44710</v>
      </c>
      <c r="F9" s="83" t="s">
        <v>130</v>
      </c>
      <c r="G9" s="343">
        <v>100</v>
      </c>
      <c r="H9" s="166" t="s">
        <v>250</v>
      </c>
      <c r="I9" s="192">
        <v>773.8</v>
      </c>
      <c r="J9" s="84">
        <f>+$M$2+9</f>
        <v>89</v>
      </c>
      <c r="K9" s="84">
        <f>+$M$3</f>
        <v>16</v>
      </c>
      <c r="L9" s="168"/>
      <c r="M9" s="168"/>
      <c r="N9" s="168"/>
      <c r="O9" s="168"/>
      <c r="P9" s="168"/>
      <c r="Q9" s="168">
        <v>4</v>
      </c>
      <c r="R9" s="193">
        <f>SUM(J9:O9)</f>
        <v>105</v>
      </c>
      <c r="S9" s="204">
        <f t="shared" ref="S9:S28" si="0">DATEDIF(E9,$D$3,"y")</f>
        <v>0</v>
      </c>
      <c r="T9" s="169">
        <f t="shared" ref="T9" si="1">+J9*I9</f>
        <v>68868.2</v>
      </c>
      <c r="U9" s="169">
        <f t="shared" ref="U9" si="2">+K9*I9</f>
        <v>12380.8</v>
      </c>
      <c r="V9" s="169"/>
      <c r="W9" s="169">
        <f t="shared" ref="W9" si="3">+L9*I9</f>
        <v>0</v>
      </c>
      <c r="X9" s="169">
        <f>+I9*M9*2</f>
        <v>0</v>
      </c>
      <c r="Y9" s="169">
        <f t="shared" ref="Y9" si="4">+O9*I9</f>
        <v>0</v>
      </c>
      <c r="Z9" s="169">
        <f t="shared" ref="Z9:Z21" si="5">+N9*(1)*I9</f>
        <v>0</v>
      </c>
      <c r="AA9" s="362">
        <f>IF(N9&lt;0,0,$AA$6*G9/100)</f>
        <v>4669</v>
      </c>
      <c r="AB9" s="169"/>
      <c r="AC9" s="169">
        <f>+I9*1.5*P9</f>
        <v>0</v>
      </c>
      <c r="AD9" s="169">
        <f>+I9*2*Q9</f>
        <v>6190.4</v>
      </c>
      <c r="AE9" s="85"/>
      <c r="AF9" s="169"/>
      <c r="AG9" s="100">
        <f>SUM(T9:AF9)+AJ9</f>
        <v>92108.4</v>
      </c>
      <c r="AH9" s="101"/>
      <c r="AI9" s="205"/>
      <c r="AJ9" s="205"/>
      <c r="AK9" s="205"/>
      <c r="AL9" s="102">
        <f>+AG9</f>
        <v>92108.4</v>
      </c>
      <c r="AM9" s="275"/>
      <c r="AN9" s="366">
        <f>+AL9*0.175+AL9*0.03</f>
        <v>18882.221999999998</v>
      </c>
      <c r="AO9" s="190">
        <f>ROUNDUP(AL9+AH9-AN9,0)</f>
        <v>73227</v>
      </c>
      <c r="AP9" s="349"/>
      <c r="AQ9" s="349"/>
      <c r="AR9" s="349"/>
    </row>
    <row r="10" spans="1:44" s="350" customFormat="1" ht="20.100000000000001" customHeight="1" x14ac:dyDescent="0.2">
      <c r="A10" s="165">
        <f>+A9+1</f>
        <v>2</v>
      </c>
      <c r="B10" s="201">
        <v>20426095034</v>
      </c>
      <c r="C10" s="202">
        <v>4</v>
      </c>
      <c r="D10" s="163" t="s">
        <v>150</v>
      </c>
      <c r="E10" s="203">
        <v>44710</v>
      </c>
      <c r="F10" s="83" t="s">
        <v>130</v>
      </c>
      <c r="G10" s="342">
        <v>65</v>
      </c>
      <c r="H10" s="166" t="s">
        <v>250</v>
      </c>
      <c r="I10" s="192">
        <v>773.8</v>
      </c>
      <c r="J10" s="84">
        <f>+$N$2+5</f>
        <v>58</v>
      </c>
      <c r="K10" s="84">
        <f>+$N$3</f>
        <v>10</v>
      </c>
      <c r="L10" s="168"/>
      <c r="M10" s="168"/>
      <c r="N10" s="168"/>
      <c r="O10" s="168"/>
      <c r="P10" s="168"/>
      <c r="Q10" s="168"/>
      <c r="R10" s="193">
        <f>J10+K10+L10+M10-N10+O10</f>
        <v>68</v>
      </c>
      <c r="S10" s="204">
        <f t="shared" si="0"/>
        <v>0</v>
      </c>
      <c r="T10" s="169">
        <f t="shared" ref="T10:T28" si="6">+J10*I10</f>
        <v>44880.399999999994</v>
      </c>
      <c r="U10" s="169">
        <f t="shared" ref="U10:U13" si="7">+K10*I10</f>
        <v>7738</v>
      </c>
      <c r="V10" s="169"/>
      <c r="W10" s="169">
        <f t="shared" ref="W10:W14" si="8">+L10*I10</f>
        <v>0</v>
      </c>
      <c r="X10" s="169">
        <f t="shared" ref="X10:X28" si="9">+I10*M10*2</f>
        <v>0</v>
      </c>
      <c r="Y10" s="169">
        <f t="shared" ref="Y10:Y14" si="10">+O10*I10</f>
        <v>0</v>
      </c>
      <c r="Z10" s="169">
        <f t="shared" si="5"/>
        <v>0</v>
      </c>
      <c r="AA10" s="362">
        <f>IF(N10&lt;0,0,$AA$6*G10/100)*1</f>
        <v>3034.85</v>
      </c>
      <c r="AB10" s="169"/>
      <c r="AC10" s="169">
        <f t="shared" ref="AC10:AC28" si="11">+I10*1.5*P10</f>
        <v>0</v>
      </c>
      <c r="AD10" s="169"/>
      <c r="AE10" s="85"/>
      <c r="AF10" s="169"/>
      <c r="AG10" s="100">
        <f>SUM(T10:AF10)+AJ10</f>
        <v>55653.249999999993</v>
      </c>
      <c r="AH10" s="101"/>
      <c r="AI10" s="205"/>
      <c r="AJ10" s="205"/>
      <c r="AK10" s="205"/>
      <c r="AL10" s="102">
        <f t="shared" ref="AL10:AL12" si="12">+AG10</f>
        <v>55653.249999999993</v>
      </c>
      <c r="AM10" s="275"/>
      <c r="AN10" s="275">
        <f>+AL10*0.175+(AL10*100/G10)*0.03</f>
        <v>12307.930288461535</v>
      </c>
      <c r="AO10" s="190">
        <f t="shared" ref="AO10:AO25" si="13">ROUNDUP(AL10+AH10-AN10,0)</f>
        <v>43346</v>
      </c>
      <c r="AP10" s="349"/>
      <c r="AQ10" s="349"/>
      <c r="AR10" s="349"/>
    </row>
    <row r="11" spans="1:44" s="350" customFormat="1" ht="20.100000000000001" customHeight="1" x14ac:dyDescent="0.2">
      <c r="A11" s="165">
        <f t="shared" ref="A11:A28" si="14">+A10+1</f>
        <v>3</v>
      </c>
      <c r="B11" s="201">
        <v>20355584098</v>
      </c>
      <c r="C11" s="202">
        <v>5</v>
      </c>
      <c r="D11" s="163" t="s">
        <v>151</v>
      </c>
      <c r="E11" s="203">
        <v>44710</v>
      </c>
      <c r="F11" s="83" t="s">
        <v>130</v>
      </c>
      <c r="G11" s="342">
        <v>65</v>
      </c>
      <c r="H11" s="166" t="s">
        <v>250</v>
      </c>
      <c r="I11" s="192">
        <v>773.8</v>
      </c>
      <c r="J11" s="84">
        <f>+$N$2+5</f>
        <v>58</v>
      </c>
      <c r="K11" s="84">
        <f t="shared" ref="K11:K13" si="15">+$N$3</f>
        <v>10</v>
      </c>
      <c r="L11" s="168"/>
      <c r="M11" s="168"/>
      <c r="N11" s="168"/>
      <c r="O11" s="168"/>
      <c r="P11" s="168"/>
      <c r="Q11" s="168"/>
      <c r="R11" s="193">
        <f t="shared" ref="R11:R28" si="16">J11+K11+L11+M11-N11+O11</f>
        <v>68</v>
      </c>
      <c r="S11" s="204">
        <f t="shared" si="0"/>
        <v>0</v>
      </c>
      <c r="T11" s="169">
        <f t="shared" si="6"/>
        <v>44880.399999999994</v>
      </c>
      <c r="U11" s="169">
        <f t="shared" si="7"/>
        <v>7738</v>
      </c>
      <c r="V11" s="169"/>
      <c r="W11" s="169">
        <f t="shared" si="8"/>
        <v>0</v>
      </c>
      <c r="X11" s="169">
        <f t="shared" si="9"/>
        <v>0</v>
      </c>
      <c r="Y11" s="169">
        <f t="shared" si="10"/>
        <v>0</v>
      </c>
      <c r="Z11" s="169">
        <f t="shared" si="5"/>
        <v>0</v>
      </c>
      <c r="AA11" s="362">
        <f t="shared" ref="AA11:AA28" si="17">IF(N11&lt;0,0,$AA$6*G11/100)</f>
        <v>3034.85</v>
      </c>
      <c r="AB11" s="169"/>
      <c r="AC11" s="169">
        <f t="shared" si="11"/>
        <v>0</v>
      </c>
      <c r="AD11" s="169"/>
      <c r="AE11" s="85"/>
      <c r="AF11" s="169"/>
      <c r="AG11" s="100">
        <f t="shared" ref="AG11:AG28" si="18">SUM(T11:AF11)+AJ11</f>
        <v>55653.249999999993</v>
      </c>
      <c r="AH11" s="101"/>
      <c r="AI11" s="205"/>
      <c r="AJ11" s="205"/>
      <c r="AK11" s="205"/>
      <c r="AL11" s="102">
        <f t="shared" si="12"/>
        <v>55653.249999999993</v>
      </c>
      <c r="AM11" s="275"/>
      <c r="AN11" s="275">
        <f t="shared" ref="AN11:AN13" si="19">+AL11*0.175+(AL11*100/G11)*0.03</f>
        <v>12307.930288461535</v>
      </c>
      <c r="AO11" s="190">
        <f t="shared" si="13"/>
        <v>43346</v>
      </c>
      <c r="AP11" s="349"/>
      <c r="AQ11" s="349"/>
      <c r="AR11" s="349"/>
    </row>
    <row r="12" spans="1:44" s="350" customFormat="1" ht="20.100000000000001" customHeight="1" x14ac:dyDescent="0.2">
      <c r="A12" s="165">
        <f t="shared" si="14"/>
        <v>4</v>
      </c>
      <c r="B12" s="201">
        <v>20351621738</v>
      </c>
      <c r="C12" s="202">
        <v>7</v>
      </c>
      <c r="D12" s="163" t="s">
        <v>153</v>
      </c>
      <c r="E12" s="203">
        <v>44710</v>
      </c>
      <c r="F12" s="83" t="s">
        <v>130</v>
      </c>
      <c r="G12" s="342">
        <v>65</v>
      </c>
      <c r="H12" s="166" t="s">
        <v>170</v>
      </c>
      <c r="I12" s="192">
        <v>701.86</v>
      </c>
      <c r="J12" s="84">
        <f>+$N$2+5</f>
        <v>58</v>
      </c>
      <c r="K12" s="84">
        <f t="shared" si="15"/>
        <v>10</v>
      </c>
      <c r="L12" s="168"/>
      <c r="M12" s="168"/>
      <c r="N12" s="168"/>
      <c r="O12" s="168"/>
      <c r="P12" s="168"/>
      <c r="Q12" s="168"/>
      <c r="R12" s="193">
        <f t="shared" si="16"/>
        <v>68</v>
      </c>
      <c r="S12" s="204">
        <f t="shared" si="0"/>
        <v>0</v>
      </c>
      <c r="T12" s="169">
        <f t="shared" si="6"/>
        <v>40707.879999999997</v>
      </c>
      <c r="U12" s="169">
        <f t="shared" si="7"/>
        <v>7018.6</v>
      </c>
      <c r="V12" s="169"/>
      <c r="W12" s="169">
        <f t="shared" si="8"/>
        <v>0</v>
      </c>
      <c r="X12" s="169">
        <f t="shared" si="9"/>
        <v>0</v>
      </c>
      <c r="Y12" s="169">
        <f t="shared" si="10"/>
        <v>0</v>
      </c>
      <c r="Z12" s="169">
        <f t="shared" si="5"/>
        <v>0</v>
      </c>
      <c r="AA12" s="362">
        <f t="shared" si="17"/>
        <v>3034.85</v>
      </c>
      <c r="AB12" s="169"/>
      <c r="AC12" s="169">
        <f t="shared" si="11"/>
        <v>0</v>
      </c>
      <c r="AD12" s="169"/>
      <c r="AE12" s="85"/>
      <c r="AF12" s="169"/>
      <c r="AG12" s="100">
        <f t="shared" si="18"/>
        <v>50761.329999999994</v>
      </c>
      <c r="AH12" s="101"/>
      <c r="AI12" s="205"/>
      <c r="AJ12" s="205"/>
      <c r="AK12" s="205"/>
      <c r="AL12" s="102">
        <f t="shared" si="12"/>
        <v>50761.329999999994</v>
      </c>
      <c r="AM12" s="275"/>
      <c r="AN12" s="275">
        <f t="shared" si="19"/>
        <v>11226.063365384614</v>
      </c>
      <c r="AO12" s="190">
        <f t="shared" si="13"/>
        <v>39536</v>
      </c>
      <c r="AP12" s="349"/>
      <c r="AQ12" s="349"/>
      <c r="AR12" s="363"/>
    </row>
    <row r="13" spans="1:44" s="350" customFormat="1" ht="20.100000000000001" customHeight="1" x14ac:dyDescent="0.2">
      <c r="A13" s="165">
        <f t="shared" si="14"/>
        <v>5</v>
      </c>
      <c r="B13" s="201">
        <v>20428710399</v>
      </c>
      <c r="C13" s="202">
        <v>8</v>
      </c>
      <c r="D13" s="163" t="s">
        <v>154</v>
      </c>
      <c r="E13" s="203">
        <v>44710</v>
      </c>
      <c r="F13" s="83" t="s">
        <v>130</v>
      </c>
      <c r="G13" s="342">
        <v>65</v>
      </c>
      <c r="H13" s="166" t="s">
        <v>250</v>
      </c>
      <c r="I13" s="192">
        <v>773.8</v>
      </c>
      <c r="J13" s="84">
        <f>+$N$2+5</f>
        <v>58</v>
      </c>
      <c r="K13" s="84">
        <f t="shared" si="15"/>
        <v>10</v>
      </c>
      <c r="L13" s="168"/>
      <c r="M13" s="168"/>
      <c r="N13" s="168">
        <v>-8</v>
      </c>
      <c r="O13" s="168"/>
      <c r="P13" s="168"/>
      <c r="Q13" s="168"/>
      <c r="R13" s="193">
        <f t="shared" si="16"/>
        <v>76</v>
      </c>
      <c r="S13" s="204">
        <f t="shared" si="0"/>
        <v>0</v>
      </c>
      <c r="T13" s="169">
        <f t="shared" si="6"/>
        <v>44880.399999999994</v>
      </c>
      <c r="U13" s="169">
        <f t="shared" si="7"/>
        <v>7738</v>
      </c>
      <c r="V13" s="169"/>
      <c r="W13" s="169">
        <f t="shared" si="8"/>
        <v>0</v>
      </c>
      <c r="X13" s="169">
        <f t="shared" si="9"/>
        <v>0</v>
      </c>
      <c r="Y13" s="169">
        <f t="shared" si="10"/>
        <v>0</v>
      </c>
      <c r="Z13" s="169">
        <f t="shared" si="5"/>
        <v>-6190.4</v>
      </c>
      <c r="AA13" s="362">
        <f t="shared" si="17"/>
        <v>0</v>
      </c>
      <c r="AB13" s="169"/>
      <c r="AC13" s="169">
        <f t="shared" si="11"/>
        <v>0</v>
      </c>
      <c r="AD13" s="169"/>
      <c r="AE13" s="85"/>
      <c r="AF13" s="169"/>
      <c r="AG13" s="100">
        <f t="shared" si="18"/>
        <v>46427.999999999993</v>
      </c>
      <c r="AH13" s="101"/>
      <c r="AI13" s="205"/>
      <c r="AJ13" s="205"/>
      <c r="AK13" s="205"/>
      <c r="AL13" s="102">
        <f>+AG13</f>
        <v>46427.999999999993</v>
      </c>
      <c r="AM13" s="275"/>
      <c r="AN13" s="275">
        <f t="shared" si="19"/>
        <v>10267.730769230766</v>
      </c>
      <c r="AO13" s="190">
        <f t="shared" si="13"/>
        <v>36161</v>
      </c>
      <c r="AP13" s="349"/>
      <c r="AQ13" s="349"/>
      <c r="AR13" s="349"/>
    </row>
    <row r="14" spans="1:44" s="350" customFormat="1" ht="20.100000000000001" customHeight="1" x14ac:dyDescent="0.2">
      <c r="A14" s="165">
        <f t="shared" si="14"/>
        <v>6</v>
      </c>
      <c r="B14" s="201">
        <v>23290473969</v>
      </c>
      <c r="C14" s="202">
        <v>9</v>
      </c>
      <c r="D14" s="365" t="s">
        <v>155</v>
      </c>
      <c r="E14" s="203">
        <v>44710</v>
      </c>
      <c r="F14" s="83" t="s">
        <v>130</v>
      </c>
      <c r="G14" s="343">
        <v>100</v>
      </c>
      <c r="H14" s="166" t="s">
        <v>171</v>
      </c>
      <c r="I14" s="192">
        <v>853.12</v>
      </c>
      <c r="J14" s="84">
        <f>+$M$2+11</f>
        <v>91</v>
      </c>
      <c r="K14" s="84">
        <f>+$M$3</f>
        <v>16</v>
      </c>
      <c r="L14" s="168"/>
      <c r="M14" s="168"/>
      <c r="N14" s="168"/>
      <c r="O14" s="168"/>
      <c r="P14" s="168"/>
      <c r="Q14" s="168"/>
      <c r="R14" s="193">
        <f t="shared" si="16"/>
        <v>107</v>
      </c>
      <c r="S14" s="204">
        <f t="shared" si="0"/>
        <v>0</v>
      </c>
      <c r="T14" s="169">
        <f t="shared" si="6"/>
        <v>77633.919999999998</v>
      </c>
      <c r="U14" s="169">
        <f>+K14*I14</f>
        <v>13649.92</v>
      </c>
      <c r="V14" s="321">
        <f>(+NETOS!O7/2)/0.795</f>
        <v>24716.981132075471</v>
      </c>
      <c r="W14" s="169">
        <f t="shared" si="8"/>
        <v>0</v>
      </c>
      <c r="X14" s="169">
        <f t="shared" si="9"/>
        <v>0</v>
      </c>
      <c r="Y14" s="169">
        <f t="shared" si="10"/>
        <v>0</v>
      </c>
      <c r="Z14" s="169">
        <f t="shared" si="5"/>
        <v>0</v>
      </c>
      <c r="AA14" s="362">
        <f t="shared" si="17"/>
        <v>4669</v>
      </c>
      <c r="AB14" s="169"/>
      <c r="AC14" s="169">
        <f t="shared" si="11"/>
        <v>0</v>
      </c>
      <c r="AD14" s="169"/>
      <c r="AE14" s="85"/>
      <c r="AF14" s="169"/>
      <c r="AG14" s="100">
        <f t="shared" si="18"/>
        <v>120669.82113207546</v>
      </c>
      <c r="AH14" s="101"/>
      <c r="AI14" s="205"/>
      <c r="AJ14" s="205"/>
      <c r="AK14" s="205"/>
      <c r="AL14" s="102">
        <f t="shared" ref="AL14:AL28" si="20">+AG14</f>
        <v>120669.82113207546</v>
      </c>
      <c r="AM14" s="275"/>
      <c r="AN14" s="366">
        <f t="shared" ref="AN14:AN19" si="21">+AL14*0.175+AL14*0.03</f>
        <v>24737.313332075468</v>
      </c>
      <c r="AO14" s="190">
        <f t="shared" si="13"/>
        <v>95933</v>
      </c>
      <c r="AP14" s="363"/>
      <c r="AQ14" s="349"/>
      <c r="AR14" s="349"/>
    </row>
    <row r="15" spans="1:44" s="350" customFormat="1" ht="20.100000000000001" customHeight="1" x14ac:dyDescent="0.2">
      <c r="A15" s="165">
        <f t="shared" si="14"/>
        <v>7</v>
      </c>
      <c r="B15" s="201">
        <v>20304523825</v>
      </c>
      <c r="C15" s="202">
        <v>10</v>
      </c>
      <c r="D15" s="163" t="s">
        <v>156</v>
      </c>
      <c r="E15" s="203">
        <v>44710</v>
      </c>
      <c r="F15" s="83" t="s">
        <v>130</v>
      </c>
      <c r="G15" s="342">
        <v>65</v>
      </c>
      <c r="H15" s="166" t="s">
        <v>250</v>
      </c>
      <c r="I15" s="192">
        <v>773.8</v>
      </c>
      <c r="J15" s="84">
        <f>+$N$2+5</f>
        <v>58</v>
      </c>
      <c r="K15" s="84">
        <f t="shared" ref="K15:K18" si="22">+$N$3</f>
        <v>10</v>
      </c>
      <c r="L15" s="168"/>
      <c r="M15" s="168"/>
      <c r="N15" s="168"/>
      <c r="O15" s="168"/>
      <c r="P15" s="168"/>
      <c r="Q15" s="168"/>
      <c r="R15" s="193">
        <f t="shared" si="16"/>
        <v>68</v>
      </c>
      <c r="S15" s="204">
        <f t="shared" si="0"/>
        <v>0</v>
      </c>
      <c r="T15" s="169">
        <f t="shared" si="6"/>
        <v>44880.399999999994</v>
      </c>
      <c r="U15" s="169">
        <f t="shared" ref="U15:U25" si="23">+K15*I15</f>
        <v>7738</v>
      </c>
      <c r="V15" s="169"/>
      <c r="W15" s="169">
        <f t="shared" ref="W15:W28" si="24">+L15*I15</f>
        <v>0</v>
      </c>
      <c r="X15" s="169">
        <f t="shared" si="9"/>
        <v>0</v>
      </c>
      <c r="Y15" s="169">
        <f t="shared" ref="Y15:Y28" si="25">+O15*I15</f>
        <v>0</v>
      </c>
      <c r="Z15" s="169">
        <f t="shared" si="5"/>
        <v>0</v>
      </c>
      <c r="AA15" s="362">
        <f t="shared" si="17"/>
        <v>3034.85</v>
      </c>
      <c r="AB15" s="169"/>
      <c r="AC15" s="169">
        <f t="shared" si="11"/>
        <v>0</v>
      </c>
      <c r="AD15" s="169"/>
      <c r="AE15" s="85"/>
      <c r="AF15" s="169"/>
      <c r="AG15" s="100">
        <f t="shared" si="18"/>
        <v>55653.249999999993</v>
      </c>
      <c r="AH15" s="101"/>
      <c r="AI15" s="205"/>
      <c r="AJ15" s="205"/>
      <c r="AK15" s="205"/>
      <c r="AL15" s="102">
        <f t="shared" si="20"/>
        <v>55653.249999999993</v>
      </c>
      <c r="AM15" s="275"/>
      <c r="AN15" s="275">
        <f t="shared" ref="AN15:AN18" si="26">+AL15*0.175+(AL15*100/G15)*0.03</f>
        <v>12307.930288461535</v>
      </c>
      <c r="AO15" s="190">
        <f t="shared" si="13"/>
        <v>43346</v>
      </c>
      <c r="AP15" s="349"/>
      <c r="AQ15" s="349"/>
      <c r="AR15" s="349"/>
    </row>
    <row r="16" spans="1:44" s="350" customFormat="1" ht="20.100000000000001" customHeight="1" x14ac:dyDescent="0.2">
      <c r="A16" s="165">
        <f t="shared" si="14"/>
        <v>8</v>
      </c>
      <c r="B16" s="201">
        <v>20322222719</v>
      </c>
      <c r="C16" s="202">
        <v>11</v>
      </c>
      <c r="D16" s="163" t="s">
        <v>157</v>
      </c>
      <c r="E16" s="203">
        <v>44710</v>
      </c>
      <c r="F16" s="83" t="s">
        <v>130</v>
      </c>
      <c r="G16" s="342">
        <v>65</v>
      </c>
      <c r="H16" s="166" t="s">
        <v>170</v>
      </c>
      <c r="I16" s="192">
        <v>701.86</v>
      </c>
      <c r="J16" s="84">
        <f>+$N$2+5</f>
        <v>58</v>
      </c>
      <c r="K16" s="84">
        <f t="shared" si="22"/>
        <v>10</v>
      </c>
      <c r="L16" s="168"/>
      <c r="M16" s="168"/>
      <c r="N16" s="168"/>
      <c r="O16" s="168"/>
      <c r="P16" s="168"/>
      <c r="Q16" s="168"/>
      <c r="R16" s="193">
        <f t="shared" si="16"/>
        <v>68</v>
      </c>
      <c r="S16" s="204">
        <f t="shared" si="0"/>
        <v>0</v>
      </c>
      <c r="T16" s="169">
        <f t="shared" si="6"/>
        <v>40707.879999999997</v>
      </c>
      <c r="U16" s="169">
        <f t="shared" si="23"/>
        <v>7018.6</v>
      </c>
      <c r="V16" s="169"/>
      <c r="W16" s="169">
        <f t="shared" si="24"/>
        <v>0</v>
      </c>
      <c r="X16" s="169">
        <f t="shared" si="9"/>
        <v>0</v>
      </c>
      <c r="Y16" s="169">
        <f t="shared" si="25"/>
        <v>0</v>
      </c>
      <c r="Z16" s="169">
        <f t="shared" si="5"/>
        <v>0</v>
      </c>
      <c r="AA16" s="362">
        <f t="shared" si="17"/>
        <v>3034.85</v>
      </c>
      <c r="AB16" s="169"/>
      <c r="AC16" s="169">
        <f t="shared" si="11"/>
        <v>0</v>
      </c>
      <c r="AD16" s="169"/>
      <c r="AE16" s="85"/>
      <c r="AF16" s="169"/>
      <c r="AG16" s="100">
        <f t="shared" si="18"/>
        <v>50761.329999999994</v>
      </c>
      <c r="AH16" s="101"/>
      <c r="AI16" s="205"/>
      <c r="AJ16" s="205"/>
      <c r="AK16" s="205"/>
      <c r="AL16" s="102">
        <f t="shared" si="20"/>
        <v>50761.329999999994</v>
      </c>
      <c r="AM16" s="275"/>
      <c r="AN16" s="275">
        <f t="shared" si="26"/>
        <v>11226.063365384614</v>
      </c>
      <c r="AO16" s="190">
        <f t="shared" si="13"/>
        <v>39536</v>
      </c>
      <c r="AP16" s="349"/>
      <c r="AQ16" s="349"/>
      <c r="AR16" s="349"/>
    </row>
    <row r="17" spans="1:44" s="350" customFormat="1" ht="20.100000000000001" customHeight="1" x14ac:dyDescent="0.2">
      <c r="A17" s="165">
        <f t="shared" si="14"/>
        <v>9</v>
      </c>
      <c r="B17" s="201">
        <v>20425599829</v>
      </c>
      <c r="C17" s="202">
        <v>12</v>
      </c>
      <c r="D17" s="163" t="s">
        <v>158</v>
      </c>
      <c r="E17" s="203">
        <v>44710</v>
      </c>
      <c r="F17" s="83" t="s">
        <v>130</v>
      </c>
      <c r="G17" s="342">
        <v>65</v>
      </c>
      <c r="H17" s="166" t="s">
        <v>250</v>
      </c>
      <c r="I17" s="192">
        <v>773.8</v>
      </c>
      <c r="J17" s="84">
        <f>+$N$2+5</f>
        <v>58</v>
      </c>
      <c r="K17" s="84">
        <f t="shared" si="22"/>
        <v>10</v>
      </c>
      <c r="L17" s="168"/>
      <c r="M17" s="168"/>
      <c r="N17" s="168"/>
      <c r="O17" s="168"/>
      <c r="P17" s="168"/>
      <c r="Q17" s="168"/>
      <c r="R17" s="193">
        <f t="shared" si="16"/>
        <v>68</v>
      </c>
      <c r="S17" s="204">
        <f t="shared" si="0"/>
        <v>0</v>
      </c>
      <c r="T17" s="169">
        <f t="shared" si="6"/>
        <v>44880.399999999994</v>
      </c>
      <c r="U17" s="169">
        <f t="shared" si="23"/>
        <v>7738</v>
      </c>
      <c r="V17" s="169"/>
      <c r="W17" s="169">
        <f t="shared" si="24"/>
        <v>0</v>
      </c>
      <c r="X17" s="169">
        <f t="shared" si="9"/>
        <v>0</v>
      </c>
      <c r="Y17" s="169">
        <f t="shared" si="25"/>
        <v>0</v>
      </c>
      <c r="Z17" s="169">
        <f t="shared" si="5"/>
        <v>0</v>
      </c>
      <c r="AA17" s="362">
        <f t="shared" si="17"/>
        <v>3034.85</v>
      </c>
      <c r="AB17" s="169"/>
      <c r="AC17" s="169">
        <f t="shared" si="11"/>
        <v>0</v>
      </c>
      <c r="AD17" s="169"/>
      <c r="AE17" s="85"/>
      <c r="AF17" s="169"/>
      <c r="AG17" s="100">
        <f t="shared" si="18"/>
        <v>55653.249999999993</v>
      </c>
      <c r="AH17" s="101"/>
      <c r="AI17" s="205"/>
      <c r="AJ17" s="205"/>
      <c r="AK17" s="205"/>
      <c r="AL17" s="102">
        <f t="shared" si="20"/>
        <v>55653.249999999993</v>
      </c>
      <c r="AM17" s="275"/>
      <c r="AN17" s="275">
        <f t="shared" si="26"/>
        <v>12307.930288461535</v>
      </c>
      <c r="AO17" s="190">
        <f t="shared" si="13"/>
        <v>43346</v>
      </c>
      <c r="AP17" s="349"/>
      <c r="AQ17" s="349"/>
      <c r="AR17" s="349"/>
    </row>
    <row r="18" spans="1:44" s="350" customFormat="1" ht="20.100000000000001" customHeight="1" x14ac:dyDescent="0.2">
      <c r="A18" s="165">
        <f t="shared" si="14"/>
        <v>10</v>
      </c>
      <c r="B18" s="201">
        <v>20418603136</v>
      </c>
      <c r="C18" s="202">
        <v>13</v>
      </c>
      <c r="D18" s="163" t="s">
        <v>159</v>
      </c>
      <c r="E18" s="203">
        <v>44710</v>
      </c>
      <c r="F18" s="83" t="s">
        <v>130</v>
      </c>
      <c r="G18" s="342">
        <v>65</v>
      </c>
      <c r="H18" s="166" t="s">
        <v>250</v>
      </c>
      <c r="I18" s="192">
        <v>773.8</v>
      </c>
      <c r="J18" s="84">
        <f>+$N$2+5</f>
        <v>58</v>
      </c>
      <c r="K18" s="84">
        <f t="shared" si="22"/>
        <v>10</v>
      </c>
      <c r="L18" s="168"/>
      <c r="M18" s="168"/>
      <c r="N18" s="168"/>
      <c r="O18" s="168"/>
      <c r="P18" s="168"/>
      <c r="Q18" s="168"/>
      <c r="R18" s="193">
        <f t="shared" si="16"/>
        <v>68</v>
      </c>
      <c r="S18" s="204">
        <f t="shared" si="0"/>
        <v>0</v>
      </c>
      <c r="T18" s="169">
        <f t="shared" si="6"/>
        <v>44880.399999999994</v>
      </c>
      <c r="U18" s="169">
        <f t="shared" si="23"/>
        <v>7738</v>
      </c>
      <c r="V18" s="169"/>
      <c r="W18" s="169">
        <f t="shared" si="24"/>
        <v>0</v>
      </c>
      <c r="X18" s="169">
        <f t="shared" si="9"/>
        <v>0</v>
      </c>
      <c r="Y18" s="169">
        <f t="shared" si="25"/>
        <v>0</v>
      </c>
      <c r="Z18" s="169">
        <f t="shared" si="5"/>
        <v>0</v>
      </c>
      <c r="AA18" s="362">
        <f t="shared" si="17"/>
        <v>3034.85</v>
      </c>
      <c r="AB18" s="169"/>
      <c r="AC18" s="169">
        <f t="shared" si="11"/>
        <v>0</v>
      </c>
      <c r="AD18" s="169"/>
      <c r="AE18" s="85"/>
      <c r="AF18" s="169"/>
      <c r="AG18" s="100">
        <f t="shared" si="18"/>
        <v>55653.249999999993</v>
      </c>
      <c r="AH18" s="101"/>
      <c r="AI18" s="205"/>
      <c r="AJ18" s="205"/>
      <c r="AK18" s="205"/>
      <c r="AL18" s="102">
        <f t="shared" si="20"/>
        <v>55653.249999999993</v>
      </c>
      <c r="AM18" s="275"/>
      <c r="AN18" s="275">
        <f>+AL18*0.175+(AL18*100/G18)*0.03</f>
        <v>12307.930288461535</v>
      </c>
      <c r="AO18" s="190">
        <f t="shared" si="13"/>
        <v>43346</v>
      </c>
      <c r="AP18" s="349"/>
      <c r="AQ18" s="349"/>
      <c r="AR18" s="349"/>
    </row>
    <row r="19" spans="1:44" s="350" customFormat="1" ht="20.100000000000001" customHeight="1" x14ac:dyDescent="0.2">
      <c r="A19" s="165">
        <f t="shared" si="14"/>
        <v>11</v>
      </c>
      <c r="B19" s="201">
        <v>20320535248</v>
      </c>
      <c r="C19" s="202">
        <v>14</v>
      </c>
      <c r="D19" s="365" t="s">
        <v>160</v>
      </c>
      <c r="E19" s="203">
        <v>44710</v>
      </c>
      <c r="F19" s="83" t="s">
        <v>130</v>
      </c>
      <c r="G19" s="343">
        <v>100</v>
      </c>
      <c r="H19" s="166" t="s">
        <v>250</v>
      </c>
      <c r="I19" s="192">
        <v>773.8</v>
      </c>
      <c r="J19" s="84">
        <f>+$M$2+5</f>
        <v>85</v>
      </c>
      <c r="K19" s="84">
        <f>+$M$3</f>
        <v>16</v>
      </c>
      <c r="L19" s="168"/>
      <c r="M19" s="168"/>
      <c r="N19" s="168"/>
      <c r="O19" s="168"/>
      <c r="P19" s="168"/>
      <c r="Q19" s="168"/>
      <c r="R19" s="193">
        <f t="shared" si="16"/>
        <v>101</v>
      </c>
      <c r="S19" s="204">
        <f t="shared" si="0"/>
        <v>0</v>
      </c>
      <c r="T19" s="169">
        <f t="shared" si="6"/>
        <v>65773</v>
      </c>
      <c r="U19" s="169">
        <f t="shared" si="23"/>
        <v>12380.8</v>
      </c>
      <c r="V19" s="169"/>
      <c r="W19" s="169">
        <f t="shared" si="24"/>
        <v>0</v>
      </c>
      <c r="X19" s="169">
        <f t="shared" si="9"/>
        <v>0</v>
      </c>
      <c r="Y19" s="169">
        <f t="shared" si="25"/>
        <v>0</v>
      </c>
      <c r="Z19" s="169">
        <f t="shared" si="5"/>
        <v>0</v>
      </c>
      <c r="AA19" s="362">
        <f t="shared" si="17"/>
        <v>4669</v>
      </c>
      <c r="AB19" s="169"/>
      <c r="AC19" s="169">
        <f t="shared" si="11"/>
        <v>0</v>
      </c>
      <c r="AD19" s="169"/>
      <c r="AE19" s="85"/>
      <c r="AF19" s="169"/>
      <c r="AG19" s="100">
        <f t="shared" si="18"/>
        <v>82822.8</v>
      </c>
      <c r="AH19" s="101"/>
      <c r="AI19" s="205"/>
      <c r="AJ19" s="205"/>
      <c r="AK19" s="205"/>
      <c r="AL19" s="102">
        <f t="shared" si="20"/>
        <v>82822.8</v>
      </c>
      <c r="AM19" s="275"/>
      <c r="AN19" s="366">
        <f>+AL19*0.175+AL19*0.03</f>
        <v>16978.673999999999</v>
      </c>
      <c r="AO19" s="190">
        <f t="shared" si="13"/>
        <v>65845</v>
      </c>
      <c r="AP19" s="349"/>
      <c r="AQ19" s="349"/>
      <c r="AR19" s="349"/>
    </row>
    <row r="20" spans="1:44" s="350" customFormat="1" ht="20.100000000000001" customHeight="1" x14ac:dyDescent="0.2">
      <c r="A20" s="165">
        <f t="shared" si="14"/>
        <v>12</v>
      </c>
      <c r="B20" s="201">
        <v>20403630382</v>
      </c>
      <c r="C20" s="202">
        <v>15</v>
      </c>
      <c r="D20" s="163" t="s">
        <v>161</v>
      </c>
      <c r="E20" s="203">
        <v>44710</v>
      </c>
      <c r="F20" s="83" t="s">
        <v>130</v>
      </c>
      <c r="G20" s="342">
        <v>65</v>
      </c>
      <c r="H20" s="166" t="s">
        <v>170</v>
      </c>
      <c r="I20" s="192">
        <v>701.86</v>
      </c>
      <c r="J20" s="84">
        <f>+$N$2+5</f>
        <v>58</v>
      </c>
      <c r="K20" s="84">
        <f t="shared" ref="K20:K28" si="27">+$N$3</f>
        <v>10</v>
      </c>
      <c r="L20" s="168"/>
      <c r="M20" s="168"/>
      <c r="N20" s="168"/>
      <c r="O20" s="168"/>
      <c r="P20" s="168"/>
      <c r="Q20" s="168"/>
      <c r="R20" s="193">
        <f t="shared" si="16"/>
        <v>68</v>
      </c>
      <c r="S20" s="204">
        <f t="shared" si="0"/>
        <v>0</v>
      </c>
      <c r="T20" s="169">
        <f t="shared" si="6"/>
        <v>40707.879999999997</v>
      </c>
      <c r="U20" s="169">
        <f t="shared" si="23"/>
        <v>7018.6</v>
      </c>
      <c r="V20" s="169"/>
      <c r="W20" s="169">
        <f t="shared" si="24"/>
        <v>0</v>
      </c>
      <c r="X20" s="169">
        <f t="shared" si="9"/>
        <v>0</v>
      </c>
      <c r="Y20" s="169">
        <f t="shared" si="25"/>
        <v>0</v>
      </c>
      <c r="Z20" s="169">
        <f t="shared" si="5"/>
        <v>0</v>
      </c>
      <c r="AA20" s="362">
        <f t="shared" si="17"/>
        <v>3034.85</v>
      </c>
      <c r="AB20" s="169"/>
      <c r="AC20" s="169">
        <f t="shared" si="11"/>
        <v>0</v>
      </c>
      <c r="AD20" s="169"/>
      <c r="AE20" s="85"/>
      <c r="AF20" s="169"/>
      <c r="AG20" s="100">
        <f t="shared" si="18"/>
        <v>50761.329999999994</v>
      </c>
      <c r="AH20" s="101"/>
      <c r="AI20" s="205"/>
      <c r="AJ20" s="205"/>
      <c r="AK20" s="205"/>
      <c r="AL20" s="102">
        <f t="shared" si="20"/>
        <v>50761.329999999994</v>
      </c>
      <c r="AM20" s="275"/>
      <c r="AN20" s="275">
        <f t="shared" ref="AN20:AN24" si="28">+AL20*0.175+(AL20*100/G20)*0.03</f>
        <v>11226.063365384614</v>
      </c>
      <c r="AO20" s="190">
        <f t="shared" si="13"/>
        <v>39536</v>
      </c>
      <c r="AP20" s="349"/>
      <c r="AQ20" s="349"/>
      <c r="AR20" s="349"/>
    </row>
    <row r="21" spans="1:44" s="350" customFormat="1" ht="20.100000000000001" customHeight="1" x14ac:dyDescent="0.2">
      <c r="A21" s="165">
        <f t="shared" si="14"/>
        <v>13</v>
      </c>
      <c r="B21" s="201">
        <v>20410868874</v>
      </c>
      <c r="C21" s="202">
        <v>16</v>
      </c>
      <c r="D21" s="163" t="s">
        <v>162</v>
      </c>
      <c r="E21" s="203">
        <v>44710</v>
      </c>
      <c r="F21" s="83" t="s">
        <v>130</v>
      </c>
      <c r="G21" s="342">
        <v>65</v>
      </c>
      <c r="H21" s="166" t="s">
        <v>170</v>
      </c>
      <c r="I21" s="192">
        <v>701.86</v>
      </c>
      <c r="J21" s="84">
        <f>+$N$2+5</f>
        <v>58</v>
      </c>
      <c r="K21" s="84">
        <f t="shared" si="27"/>
        <v>10</v>
      </c>
      <c r="L21" s="168"/>
      <c r="M21" s="168"/>
      <c r="N21" s="168"/>
      <c r="O21" s="168"/>
      <c r="P21" s="168"/>
      <c r="Q21" s="168"/>
      <c r="R21" s="193">
        <f t="shared" si="16"/>
        <v>68</v>
      </c>
      <c r="S21" s="204">
        <f t="shared" si="0"/>
        <v>0</v>
      </c>
      <c r="T21" s="169">
        <f t="shared" si="6"/>
        <v>40707.879999999997</v>
      </c>
      <c r="U21" s="169">
        <f t="shared" si="23"/>
        <v>7018.6</v>
      </c>
      <c r="V21" s="169"/>
      <c r="W21" s="169">
        <f t="shared" si="24"/>
        <v>0</v>
      </c>
      <c r="X21" s="169">
        <f t="shared" si="9"/>
        <v>0</v>
      </c>
      <c r="Y21" s="169">
        <f t="shared" si="25"/>
        <v>0</v>
      </c>
      <c r="Z21" s="169">
        <f t="shared" si="5"/>
        <v>0</v>
      </c>
      <c r="AA21" s="362">
        <f t="shared" si="17"/>
        <v>3034.85</v>
      </c>
      <c r="AB21" s="169"/>
      <c r="AC21" s="169">
        <f t="shared" si="11"/>
        <v>0</v>
      </c>
      <c r="AD21" s="169"/>
      <c r="AE21" s="85"/>
      <c r="AF21" s="169"/>
      <c r="AG21" s="100">
        <f t="shared" si="18"/>
        <v>50761.329999999994</v>
      </c>
      <c r="AH21" s="101"/>
      <c r="AI21" s="205"/>
      <c r="AJ21" s="205"/>
      <c r="AK21" s="205"/>
      <c r="AL21" s="102">
        <f t="shared" si="20"/>
        <v>50761.329999999994</v>
      </c>
      <c r="AM21" s="275"/>
      <c r="AN21" s="275">
        <f t="shared" si="28"/>
        <v>11226.063365384614</v>
      </c>
      <c r="AO21" s="190">
        <f t="shared" si="13"/>
        <v>39536</v>
      </c>
      <c r="AP21" s="349"/>
      <c r="AQ21" s="349"/>
      <c r="AR21" s="349"/>
    </row>
    <row r="22" spans="1:44" s="350" customFormat="1" ht="20.100000000000001" customHeight="1" x14ac:dyDescent="0.2">
      <c r="A22" s="165">
        <f t="shared" si="14"/>
        <v>14</v>
      </c>
      <c r="B22" s="201">
        <v>23401204679</v>
      </c>
      <c r="C22" s="202">
        <v>17</v>
      </c>
      <c r="D22" s="163" t="s">
        <v>163</v>
      </c>
      <c r="E22" s="203">
        <v>44710</v>
      </c>
      <c r="F22" s="83" t="s">
        <v>130</v>
      </c>
      <c r="G22" s="342">
        <v>65</v>
      </c>
      <c r="H22" s="166" t="s">
        <v>170</v>
      </c>
      <c r="I22" s="192">
        <v>701.86</v>
      </c>
      <c r="J22" s="84">
        <f>+$N$2+5</f>
        <v>58</v>
      </c>
      <c r="K22" s="84">
        <f t="shared" si="27"/>
        <v>10</v>
      </c>
      <c r="L22" s="168"/>
      <c r="M22" s="168"/>
      <c r="N22" s="168"/>
      <c r="O22" s="168"/>
      <c r="P22" s="168"/>
      <c r="Q22" s="168"/>
      <c r="R22" s="193">
        <f t="shared" si="16"/>
        <v>68</v>
      </c>
      <c r="S22" s="204">
        <f t="shared" si="0"/>
        <v>0</v>
      </c>
      <c r="T22" s="169">
        <f t="shared" si="6"/>
        <v>40707.879999999997</v>
      </c>
      <c r="U22" s="169">
        <f t="shared" si="23"/>
        <v>7018.6</v>
      </c>
      <c r="V22" s="169"/>
      <c r="W22" s="169">
        <f t="shared" si="24"/>
        <v>0</v>
      </c>
      <c r="X22" s="169">
        <f t="shared" si="9"/>
        <v>0</v>
      </c>
      <c r="Y22" s="169">
        <f t="shared" si="25"/>
        <v>0</v>
      </c>
      <c r="Z22" s="169">
        <f>+N22*(1)*I22</f>
        <v>0</v>
      </c>
      <c r="AA22" s="362">
        <f t="shared" si="17"/>
        <v>3034.85</v>
      </c>
      <c r="AB22" s="169"/>
      <c r="AC22" s="169">
        <f t="shared" si="11"/>
        <v>0</v>
      </c>
      <c r="AD22" s="169"/>
      <c r="AE22" s="85"/>
      <c r="AF22" s="169"/>
      <c r="AG22" s="100">
        <f t="shared" si="18"/>
        <v>50761.329999999994</v>
      </c>
      <c r="AH22" s="101"/>
      <c r="AI22" s="205"/>
      <c r="AJ22" s="205"/>
      <c r="AK22" s="205"/>
      <c r="AL22" s="102">
        <f t="shared" si="20"/>
        <v>50761.329999999994</v>
      </c>
      <c r="AM22" s="275"/>
      <c r="AN22" s="275">
        <f t="shared" si="28"/>
        <v>11226.063365384614</v>
      </c>
      <c r="AO22" s="190">
        <f t="shared" si="13"/>
        <v>39536</v>
      </c>
      <c r="AP22" s="349"/>
      <c r="AQ22" s="349"/>
      <c r="AR22" s="349"/>
    </row>
    <row r="23" spans="1:44" s="350" customFormat="1" ht="20.100000000000001" customHeight="1" x14ac:dyDescent="0.2">
      <c r="A23" s="165">
        <f t="shared" si="14"/>
        <v>15</v>
      </c>
      <c r="B23" s="201">
        <v>20438407325</v>
      </c>
      <c r="C23" s="202">
        <v>18</v>
      </c>
      <c r="D23" s="163" t="s">
        <v>164</v>
      </c>
      <c r="E23" s="203">
        <v>44710</v>
      </c>
      <c r="F23" s="83" t="s">
        <v>130</v>
      </c>
      <c r="G23" s="342">
        <v>65</v>
      </c>
      <c r="H23" s="166" t="s">
        <v>168</v>
      </c>
      <c r="I23" s="192">
        <v>736.96</v>
      </c>
      <c r="J23" s="84">
        <f>+$N$2+5</f>
        <v>58</v>
      </c>
      <c r="K23" s="84">
        <f t="shared" si="27"/>
        <v>10</v>
      </c>
      <c r="L23" s="168"/>
      <c r="M23" s="168"/>
      <c r="N23" s="168"/>
      <c r="O23" s="168"/>
      <c r="P23" s="168"/>
      <c r="Q23" s="168"/>
      <c r="R23" s="193">
        <f t="shared" si="16"/>
        <v>68</v>
      </c>
      <c r="S23" s="204">
        <f t="shared" si="0"/>
        <v>0</v>
      </c>
      <c r="T23" s="169">
        <f t="shared" si="6"/>
        <v>42743.68</v>
      </c>
      <c r="U23" s="169">
        <f t="shared" si="23"/>
        <v>7369.6</v>
      </c>
      <c r="V23" s="169"/>
      <c r="W23" s="169">
        <f t="shared" si="24"/>
        <v>0</v>
      </c>
      <c r="X23" s="169">
        <f t="shared" si="9"/>
        <v>0</v>
      </c>
      <c r="Y23" s="169">
        <f t="shared" si="25"/>
        <v>0</v>
      </c>
      <c r="Z23" s="169">
        <f t="shared" ref="Z23:Z28" si="29">+N23*(1)*I23</f>
        <v>0</v>
      </c>
      <c r="AA23" s="362">
        <f t="shared" si="17"/>
        <v>3034.85</v>
      </c>
      <c r="AB23" s="169"/>
      <c r="AC23" s="169">
        <f t="shared" si="11"/>
        <v>0</v>
      </c>
      <c r="AD23" s="169"/>
      <c r="AE23" s="85"/>
      <c r="AF23" s="169"/>
      <c r="AG23" s="100">
        <f t="shared" si="18"/>
        <v>53148.13</v>
      </c>
      <c r="AH23" s="101"/>
      <c r="AI23" s="205"/>
      <c r="AJ23" s="205"/>
      <c r="AK23" s="205"/>
      <c r="AL23" s="102">
        <f t="shared" si="20"/>
        <v>53148.13</v>
      </c>
      <c r="AM23" s="275"/>
      <c r="AN23" s="275">
        <f t="shared" si="28"/>
        <v>11753.913365384615</v>
      </c>
      <c r="AO23" s="190">
        <f t="shared" si="13"/>
        <v>41395</v>
      </c>
      <c r="AP23" s="349"/>
      <c r="AQ23" s="349"/>
      <c r="AR23" s="349"/>
    </row>
    <row r="24" spans="1:44" s="350" customFormat="1" ht="20.100000000000001" customHeight="1" x14ac:dyDescent="0.2">
      <c r="A24" s="165">
        <f t="shared" si="14"/>
        <v>16</v>
      </c>
      <c r="B24" s="201">
        <v>23429243939</v>
      </c>
      <c r="C24" s="202">
        <v>19</v>
      </c>
      <c r="D24" s="163" t="s">
        <v>166</v>
      </c>
      <c r="E24" s="203">
        <v>44710</v>
      </c>
      <c r="F24" s="83" t="s">
        <v>130</v>
      </c>
      <c r="G24" s="342">
        <v>65</v>
      </c>
      <c r="H24" s="166" t="s">
        <v>168</v>
      </c>
      <c r="I24" s="192">
        <v>736.96</v>
      </c>
      <c r="J24" s="84">
        <f>+$N$2+5</f>
        <v>58</v>
      </c>
      <c r="K24" s="84">
        <f t="shared" si="27"/>
        <v>10</v>
      </c>
      <c r="L24" s="168"/>
      <c r="M24" s="168"/>
      <c r="N24" s="168"/>
      <c r="O24" s="168"/>
      <c r="P24" s="168"/>
      <c r="Q24" s="168"/>
      <c r="R24" s="193">
        <f t="shared" si="16"/>
        <v>68</v>
      </c>
      <c r="S24" s="204">
        <f t="shared" si="0"/>
        <v>0</v>
      </c>
      <c r="T24" s="169">
        <f t="shared" si="6"/>
        <v>42743.68</v>
      </c>
      <c r="U24" s="169">
        <f t="shared" si="23"/>
        <v>7369.6</v>
      </c>
      <c r="V24" s="169"/>
      <c r="W24" s="169">
        <f t="shared" si="24"/>
        <v>0</v>
      </c>
      <c r="X24" s="169">
        <f t="shared" si="9"/>
        <v>0</v>
      </c>
      <c r="Y24" s="169">
        <f t="shared" si="25"/>
        <v>0</v>
      </c>
      <c r="Z24" s="169">
        <f t="shared" si="29"/>
        <v>0</v>
      </c>
      <c r="AA24" s="362">
        <f t="shared" si="17"/>
        <v>3034.85</v>
      </c>
      <c r="AB24" s="169"/>
      <c r="AC24" s="169">
        <f t="shared" si="11"/>
        <v>0</v>
      </c>
      <c r="AD24" s="169"/>
      <c r="AE24" s="85"/>
      <c r="AF24" s="169"/>
      <c r="AG24" s="100">
        <f t="shared" si="18"/>
        <v>53148.13</v>
      </c>
      <c r="AH24" s="101"/>
      <c r="AI24" s="205"/>
      <c r="AJ24" s="205"/>
      <c r="AK24" s="205"/>
      <c r="AL24" s="102">
        <f t="shared" si="20"/>
        <v>53148.13</v>
      </c>
      <c r="AM24" s="275"/>
      <c r="AN24" s="275">
        <f t="shared" si="28"/>
        <v>11753.913365384615</v>
      </c>
      <c r="AO24" s="190">
        <f t="shared" si="13"/>
        <v>41395</v>
      </c>
      <c r="AP24" s="349"/>
      <c r="AQ24" s="349"/>
      <c r="AR24" s="349"/>
    </row>
    <row r="25" spans="1:44" s="350" customFormat="1" ht="20.100000000000001" customHeight="1" x14ac:dyDescent="0.2">
      <c r="A25" s="165">
        <f t="shared" si="14"/>
        <v>17</v>
      </c>
      <c r="B25" s="201">
        <v>20372389584</v>
      </c>
      <c r="C25" s="202">
        <v>20</v>
      </c>
      <c r="D25" s="365" t="s">
        <v>167</v>
      </c>
      <c r="E25" s="203">
        <v>44710</v>
      </c>
      <c r="F25" s="83" t="s">
        <v>130</v>
      </c>
      <c r="G25" s="343">
        <v>100</v>
      </c>
      <c r="H25" s="166" t="s">
        <v>250</v>
      </c>
      <c r="I25" s="192">
        <v>773.8</v>
      </c>
      <c r="J25" s="84">
        <f>+$M$2+5</f>
        <v>85</v>
      </c>
      <c r="K25" s="84">
        <f>+$M$3</f>
        <v>16</v>
      </c>
      <c r="L25" s="168"/>
      <c r="M25" s="168"/>
      <c r="N25" s="168"/>
      <c r="O25" s="168"/>
      <c r="P25" s="168"/>
      <c r="Q25" s="168"/>
      <c r="R25" s="193">
        <f t="shared" si="16"/>
        <v>101</v>
      </c>
      <c r="S25" s="204">
        <f t="shared" si="0"/>
        <v>0</v>
      </c>
      <c r="T25" s="169">
        <f t="shared" si="6"/>
        <v>65773</v>
      </c>
      <c r="U25" s="169">
        <f t="shared" si="23"/>
        <v>12380.8</v>
      </c>
      <c r="V25" s="321">
        <f>(NETOS!O6/2)/0.795</f>
        <v>5169.8899371069183</v>
      </c>
      <c r="W25" s="169">
        <f t="shared" si="24"/>
        <v>0</v>
      </c>
      <c r="X25" s="169">
        <f t="shared" si="9"/>
        <v>0</v>
      </c>
      <c r="Y25" s="169">
        <f t="shared" si="25"/>
        <v>0</v>
      </c>
      <c r="Z25" s="169">
        <f t="shared" si="29"/>
        <v>0</v>
      </c>
      <c r="AA25" s="362">
        <f t="shared" si="17"/>
        <v>4669</v>
      </c>
      <c r="AB25" s="169"/>
      <c r="AC25" s="169">
        <f t="shared" si="11"/>
        <v>0</v>
      </c>
      <c r="AD25" s="169"/>
      <c r="AE25" s="85"/>
      <c r="AF25" s="169"/>
      <c r="AG25" s="100">
        <f t="shared" si="18"/>
        <v>87992.689937106916</v>
      </c>
      <c r="AH25" s="101"/>
      <c r="AI25" s="205"/>
      <c r="AJ25" s="205"/>
      <c r="AK25" s="205"/>
      <c r="AL25" s="102">
        <f t="shared" si="20"/>
        <v>87992.689937106916</v>
      </c>
      <c r="AM25" s="275"/>
      <c r="AN25" s="366">
        <f t="shared" ref="AN25" si="30">+AL25*0.175+AL25*0.03</f>
        <v>18038.501437106916</v>
      </c>
      <c r="AO25" s="190">
        <f t="shared" si="13"/>
        <v>69955</v>
      </c>
      <c r="AP25" s="367">
        <f>+AO25-33368</f>
        <v>36587</v>
      </c>
      <c r="AQ25" s="349">
        <f>100-(11+3+3.5+3*100/65)</f>
        <v>77.884615384615387</v>
      </c>
      <c r="AR25" s="346">
        <f>+NETOS!I6/2</f>
        <v>3335.0625</v>
      </c>
    </row>
    <row r="26" spans="1:44" s="350" customFormat="1" ht="20.100000000000001" customHeight="1" x14ac:dyDescent="0.2">
      <c r="A26" s="165">
        <f t="shared" si="14"/>
        <v>18</v>
      </c>
      <c r="B26" s="201" t="s">
        <v>218</v>
      </c>
      <c r="C26" s="202">
        <v>24</v>
      </c>
      <c r="D26" s="163" t="s">
        <v>219</v>
      </c>
      <c r="E26" s="203">
        <v>44815</v>
      </c>
      <c r="F26" s="83" t="s">
        <v>130</v>
      </c>
      <c r="G26" s="342">
        <v>65</v>
      </c>
      <c r="H26" s="166" t="s">
        <v>169</v>
      </c>
      <c r="I26" s="192">
        <v>668.44</v>
      </c>
      <c r="J26" s="84">
        <f>+$N$2+5</f>
        <v>58</v>
      </c>
      <c r="K26" s="84">
        <f t="shared" si="27"/>
        <v>10</v>
      </c>
      <c r="L26" s="168"/>
      <c r="M26" s="168"/>
      <c r="N26" s="168"/>
      <c r="O26" s="168"/>
      <c r="P26" s="168"/>
      <c r="Q26" s="168"/>
      <c r="R26" s="193">
        <f t="shared" si="16"/>
        <v>68</v>
      </c>
      <c r="S26" s="204">
        <f t="shared" si="0"/>
        <v>0</v>
      </c>
      <c r="T26" s="169">
        <f t="shared" si="6"/>
        <v>38769.520000000004</v>
      </c>
      <c r="U26" s="169">
        <f t="shared" ref="U26:U28" si="31">+K26*I26</f>
        <v>6684.4000000000005</v>
      </c>
      <c r="V26" s="169"/>
      <c r="W26" s="169">
        <f t="shared" si="24"/>
        <v>0</v>
      </c>
      <c r="X26" s="169">
        <f t="shared" si="9"/>
        <v>0</v>
      </c>
      <c r="Y26" s="169">
        <f t="shared" si="25"/>
        <v>0</v>
      </c>
      <c r="Z26" s="169">
        <f t="shared" si="29"/>
        <v>0</v>
      </c>
      <c r="AA26" s="362">
        <f t="shared" si="17"/>
        <v>3034.85</v>
      </c>
      <c r="AB26" s="169"/>
      <c r="AC26" s="169">
        <f t="shared" si="11"/>
        <v>0</v>
      </c>
      <c r="AD26" s="169"/>
      <c r="AE26" s="85"/>
      <c r="AF26" s="169"/>
      <c r="AG26" s="100">
        <f t="shared" si="18"/>
        <v>48488.770000000004</v>
      </c>
      <c r="AH26" s="101"/>
      <c r="AI26" s="205"/>
      <c r="AJ26" s="205"/>
      <c r="AK26" s="205"/>
      <c r="AL26" s="102">
        <f t="shared" si="20"/>
        <v>48488.770000000004</v>
      </c>
      <c r="AM26" s="275"/>
      <c r="AN26" s="275">
        <f t="shared" ref="AN26:AN28" si="32">+AL26*0.175+(AL26*100/G26)*0.03</f>
        <v>10723.477980769232</v>
      </c>
      <c r="AO26" s="190">
        <f t="shared" ref="AO26:AO28" si="33">ROUNDUP(AL26+AH26-AN26,0)</f>
        <v>37766</v>
      </c>
      <c r="AP26" s="349"/>
      <c r="AQ26" s="349"/>
      <c r="AR26" s="349"/>
    </row>
    <row r="27" spans="1:44" s="350" customFormat="1" ht="20.100000000000001" customHeight="1" x14ac:dyDescent="0.2">
      <c r="A27" s="165">
        <f t="shared" si="14"/>
        <v>19</v>
      </c>
      <c r="B27" s="201" t="s">
        <v>239</v>
      </c>
      <c r="C27" s="202">
        <v>25</v>
      </c>
      <c r="D27" s="163" t="s">
        <v>240</v>
      </c>
      <c r="E27" s="203">
        <v>44829</v>
      </c>
      <c r="F27" s="83" t="s">
        <v>130</v>
      </c>
      <c r="G27" s="342">
        <v>65</v>
      </c>
      <c r="H27" s="166" t="s">
        <v>169</v>
      </c>
      <c r="I27" s="192">
        <v>668.44</v>
      </c>
      <c r="J27" s="84">
        <f>+$N$2+5</f>
        <v>58</v>
      </c>
      <c r="K27" s="84">
        <f t="shared" si="27"/>
        <v>10</v>
      </c>
      <c r="L27" s="168"/>
      <c r="M27" s="168"/>
      <c r="N27" s="168"/>
      <c r="O27" s="168"/>
      <c r="P27" s="168"/>
      <c r="Q27" s="168"/>
      <c r="R27" s="193">
        <f t="shared" si="16"/>
        <v>68</v>
      </c>
      <c r="S27" s="204">
        <f t="shared" si="0"/>
        <v>0</v>
      </c>
      <c r="T27" s="169">
        <f t="shared" si="6"/>
        <v>38769.520000000004</v>
      </c>
      <c r="U27" s="169">
        <f t="shared" si="31"/>
        <v>6684.4000000000005</v>
      </c>
      <c r="V27" s="169"/>
      <c r="W27" s="169">
        <f t="shared" si="24"/>
        <v>0</v>
      </c>
      <c r="X27" s="169">
        <f t="shared" si="9"/>
        <v>0</v>
      </c>
      <c r="Y27" s="169">
        <f t="shared" si="25"/>
        <v>0</v>
      </c>
      <c r="Z27" s="169">
        <f t="shared" si="29"/>
        <v>0</v>
      </c>
      <c r="AA27" s="362">
        <f t="shared" si="17"/>
        <v>3034.85</v>
      </c>
      <c r="AB27" s="169"/>
      <c r="AC27" s="169">
        <f t="shared" si="11"/>
        <v>0</v>
      </c>
      <c r="AD27" s="169"/>
      <c r="AE27" s="85"/>
      <c r="AF27" s="169"/>
      <c r="AG27" s="100">
        <f t="shared" si="18"/>
        <v>48488.770000000004</v>
      </c>
      <c r="AH27" s="101"/>
      <c r="AI27" s="205"/>
      <c r="AJ27" s="205"/>
      <c r="AK27" s="205"/>
      <c r="AL27" s="102">
        <f t="shared" si="20"/>
        <v>48488.770000000004</v>
      </c>
      <c r="AM27" s="275"/>
      <c r="AN27" s="275">
        <f t="shared" si="32"/>
        <v>10723.477980769232</v>
      </c>
      <c r="AO27" s="190">
        <f t="shared" si="33"/>
        <v>37766</v>
      </c>
      <c r="AP27" s="349"/>
      <c r="AQ27" s="349"/>
      <c r="AR27" s="349"/>
    </row>
    <row r="28" spans="1:44" s="350" customFormat="1" ht="20.100000000000001" customHeight="1" x14ac:dyDescent="0.2">
      <c r="A28" s="165">
        <f t="shared" si="14"/>
        <v>20</v>
      </c>
      <c r="B28" s="201" t="s">
        <v>246</v>
      </c>
      <c r="C28" s="202">
        <v>26</v>
      </c>
      <c r="D28" s="163" t="s">
        <v>247</v>
      </c>
      <c r="E28" s="203">
        <v>44866</v>
      </c>
      <c r="F28" s="83" t="s">
        <v>130</v>
      </c>
      <c r="G28" s="342">
        <v>65</v>
      </c>
      <c r="H28" s="166" t="s">
        <v>169</v>
      </c>
      <c r="I28" s="192">
        <v>668.44</v>
      </c>
      <c r="J28" s="84">
        <f>+$N$2+5</f>
        <v>58</v>
      </c>
      <c r="K28" s="84">
        <f t="shared" si="27"/>
        <v>10</v>
      </c>
      <c r="L28" s="168"/>
      <c r="M28" s="168"/>
      <c r="N28" s="168"/>
      <c r="O28" s="168"/>
      <c r="P28" s="168"/>
      <c r="Q28" s="168"/>
      <c r="R28" s="193">
        <f t="shared" si="16"/>
        <v>68</v>
      </c>
      <c r="S28" s="204">
        <f t="shared" si="0"/>
        <v>0</v>
      </c>
      <c r="T28" s="169">
        <f t="shared" si="6"/>
        <v>38769.520000000004</v>
      </c>
      <c r="U28" s="169">
        <f t="shared" si="31"/>
        <v>6684.4000000000005</v>
      </c>
      <c r="V28" s="169"/>
      <c r="W28" s="169">
        <f t="shared" si="24"/>
        <v>0</v>
      </c>
      <c r="X28" s="169">
        <f t="shared" si="9"/>
        <v>0</v>
      </c>
      <c r="Y28" s="169">
        <f t="shared" si="25"/>
        <v>0</v>
      </c>
      <c r="Z28" s="169">
        <f t="shared" si="29"/>
        <v>0</v>
      </c>
      <c r="AA28" s="362">
        <f t="shared" si="17"/>
        <v>3034.85</v>
      </c>
      <c r="AB28" s="169"/>
      <c r="AC28" s="169">
        <f t="shared" si="11"/>
        <v>0</v>
      </c>
      <c r="AD28" s="169"/>
      <c r="AE28" s="85"/>
      <c r="AF28" s="169"/>
      <c r="AG28" s="100">
        <f t="shared" si="18"/>
        <v>48488.770000000004</v>
      </c>
      <c r="AH28" s="101"/>
      <c r="AI28" s="205"/>
      <c r="AJ28" s="205"/>
      <c r="AK28" s="205"/>
      <c r="AL28" s="102">
        <f t="shared" si="20"/>
        <v>48488.770000000004</v>
      </c>
      <c r="AM28" s="275"/>
      <c r="AN28" s="275">
        <f t="shared" si="32"/>
        <v>10723.477980769232</v>
      </c>
      <c r="AO28" s="190">
        <f t="shared" si="33"/>
        <v>37766</v>
      </c>
      <c r="AP28" s="349"/>
      <c r="AQ28" s="349"/>
      <c r="AR28" s="349"/>
    </row>
    <row r="29" spans="1:44" s="51" customFormat="1" ht="19.5" customHeight="1" thickBot="1" x14ac:dyDescent="0.25">
      <c r="A29" s="174"/>
      <c r="B29" s="174"/>
      <c r="C29" s="174"/>
      <c r="D29" s="175"/>
      <c r="E29" s="174"/>
      <c r="F29" s="174"/>
      <c r="G29" s="174"/>
      <c r="H29" s="74"/>
      <c r="I29" s="74"/>
      <c r="J29" s="198">
        <f>SUM(J9:J28)</f>
        <v>1278</v>
      </c>
      <c r="K29" s="198">
        <f t="shared" ref="K29:AO29" si="34">SUM(K9:K28)</f>
        <v>224</v>
      </c>
      <c r="L29" s="198">
        <f t="shared" si="34"/>
        <v>0</v>
      </c>
      <c r="M29" s="198">
        <f t="shared" si="34"/>
        <v>0</v>
      </c>
      <c r="N29" s="198">
        <f t="shared" si="34"/>
        <v>-8</v>
      </c>
      <c r="O29" s="198">
        <f t="shared" si="34"/>
        <v>0</v>
      </c>
      <c r="P29" s="198">
        <f t="shared" si="34"/>
        <v>0</v>
      </c>
      <c r="Q29" s="198"/>
      <c r="R29" s="198">
        <f t="shared" si="34"/>
        <v>1510</v>
      </c>
      <c r="S29" s="198">
        <f t="shared" si="34"/>
        <v>0</v>
      </c>
      <c r="T29" s="198">
        <f t="shared" si="34"/>
        <v>952665.8400000002</v>
      </c>
      <c r="U29" s="198">
        <f t="shared" si="34"/>
        <v>167105.72</v>
      </c>
      <c r="V29" s="198">
        <f t="shared" si="34"/>
        <v>29886.871069182387</v>
      </c>
      <c r="W29" s="198">
        <f t="shared" si="34"/>
        <v>0</v>
      </c>
      <c r="X29" s="198">
        <f t="shared" si="34"/>
        <v>0</v>
      </c>
      <c r="Y29" s="198">
        <f t="shared" si="34"/>
        <v>0</v>
      </c>
      <c r="Z29" s="198">
        <f t="shared" si="34"/>
        <v>-6190.4</v>
      </c>
      <c r="AA29" s="198">
        <f t="shared" si="34"/>
        <v>64198.749999999985</v>
      </c>
      <c r="AB29" s="198">
        <f t="shared" si="34"/>
        <v>0</v>
      </c>
      <c r="AC29" s="198">
        <f t="shared" si="34"/>
        <v>0</v>
      </c>
      <c r="AD29" s="198"/>
      <c r="AE29" s="198">
        <f t="shared" si="34"/>
        <v>0</v>
      </c>
      <c r="AF29" s="198">
        <f t="shared" si="34"/>
        <v>0</v>
      </c>
      <c r="AG29" s="198">
        <f t="shared" si="34"/>
        <v>1213857.1810691822</v>
      </c>
      <c r="AH29" s="198">
        <f t="shared" si="34"/>
        <v>0</v>
      </c>
      <c r="AI29" s="198">
        <f t="shared" si="34"/>
        <v>0</v>
      </c>
      <c r="AJ29" s="198">
        <f t="shared" si="34"/>
        <v>0</v>
      </c>
      <c r="AK29" s="198">
        <f t="shared" si="34"/>
        <v>0</v>
      </c>
      <c r="AL29" s="198">
        <f t="shared" si="34"/>
        <v>1213857.1810691822</v>
      </c>
      <c r="AM29" s="198">
        <f t="shared" si="34"/>
        <v>0</v>
      </c>
      <c r="AN29" s="198">
        <f t="shared" si="34"/>
        <v>262252.67048072087</v>
      </c>
      <c r="AO29" s="198">
        <f t="shared" si="34"/>
        <v>951619</v>
      </c>
      <c r="AP29" s="351"/>
      <c r="AQ29" s="351"/>
    </row>
    <row r="30" spans="1:44" ht="20.100000000000001" customHeight="1" x14ac:dyDescent="0.2">
      <c r="A30" s="110"/>
      <c r="B30" s="105"/>
      <c r="C30" s="121"/>
      <c r="D30" s="104" t="s">
        <v>248</v>
      </c>
      <c r="E30" s="122"/>
      <c r="F30" s="121"/>
      <c r="G30" s="121"/>
      <c r="H30" s="104"/>
      <c r="I30" s="123"/>
      <c r="J30" s="104"/>
      <c r="K30" s="124"/>
      <c r="L30" s="124"/>
      <c r="M30" s="122"/>
      <c r="N30" s="124"/>
      <c r="O30" s="124"/>
      <c r="P30" s="124"/>
      <c r="Q30" s="124"/>
      <c r="R30" s="124"/>
      <c r="S30" s="124"/>
      <c r="T30" s="124"/>
      <c r="U30" s="125"/>
      <c r="V30" s="124"/>
      <c r="W30" s="124"/>
      <c r="X30" s="124"/>
      <c r="Y30" s="124"/>
      <c r="Z30" s="91"/>
      <c r="AA30" s="104"/>
      <c r="AB30" s="104"/>
      <c r="AC30" s="104"/>
      <c r="AD30" s="104"/>
      <c r="AE30" s="104"/>
      <c r="AF30" s="104"/>
      <c r="AG30" s="104"/>
      <c r="AH30" s="104"/>
      <c r="AI30" s="108"/>
      <c r="AJ30" s="104"/>
      <c r="AK30" s="104"/>
      <c r="AL30" s="104"/>
      <c r="AM30" s="104"/>
      <c r="AN30" s="104"/>
      <c r="AO30" s="103"/>
      <c r="AP30" s="103"/>
    </row>
    <row r="31" spans="1:44" ht="12.75" x14ac:dyDescent="0.2">
      <c r="B31" s="128"/>
      <c r="C31" s="104"/>
      <c r="D31" s="104" t="s">
        <v>249</v>
      </c>
      <c r="E31" s="104"/>
      <c r="K31" s="129"/>
      <c r="AL31" s="126"/>
      <c r="AO31" s="240"/>
      <c r="AP31" s="103"/>
    </row>
    <row r="32" spans="1:44" ht="12.75" x14ac:dyDescent="0.2">
      <c r="B32" s="128"/>
      <c r="C32" s="104"/>
      <c r="D32" s="104"/>
      <c r="E32" s="104"/>
      <c r="K32" s="129"/>
      <c r="AL32" s="126"/>
      <c r="AP32" s="103"/>
    </row>
    <row r="33" spans="2:41" ht="12.75" x14ac:dyDescent="0.2">
      <c r="B33" s="128"/>
      <c r="C33" s="104"/>
      <c r="D33" s="104" t="s">
        <v>242</v>
      </c>
      <c r="E33" s="104"/>
      <c r="K33" s="129"/>
      <c r="V33" s="253"/>
      <c r="AI33" s="126" t="e">
        <f>+#REF!+#REF!+#REF!+#REF!+86.41</f>
        <v>#REF!</v>
      </c>
      <c r="AO33" s="240"/>
    </row>
    <row r="34" spans="2:41" ht="12.75" x14ac:dyDescent="0.2">
      <c r="B34" s="113"/>
      <c r="C34" s="104"/>
      <c r="D34" s="104"/>
      <c r="E34" s="104"/>
      <c r="K34" s="260"/>
    </row>
  </sheetData>
  <autoFilter ref="A8:AR31"/>
  <mergeCells count="22">
    <mergeCell ref="G7:G8"/>
    <mergeCell ref="A7:A8"/>
    <mergeCell ref="B7:B8"/>
    <mergeCell ref="C7:C8"/>
    <mergeCell ref="D7:D8"/>
    <mergeCell ref="E7:E8"/>
    <mergeCell ref="F4:I4"/>
    <mergeCell ref="F5:I5"/>
    <mergeCell ref="AN7:AN8"/>
    <mergeCell ref="AO7:AO8"/>
    <mergeCell ref="T7:AB7"/>
    <mergeCell ref="AE7:AE8"/>
    <mergeCell ref="AF7:AF8"/>
    <mergeCell ref="AG7:AG8"/>
    <mergeCell ref="I7:I8"/>
    <mergeCell ref="AM7:AM8"/>
    <mergeCell ref="F7:F8"/>
    <mergeCell ref="J7:S7"/>
    <mergeCell ref="AI7:AK7"/>
    <mergeCell ref="AH7:AH8"/>
    <mergeCell ref="AL7:AL8"/>
    <mergeCell ref="H7:H8"/>
  </mergeCells>
  <conditionalFormatting sqref="AA9:AA27">
    <cfRule type="cellIs" dxfId="2" priority="2" operator="equal">
      <formula>0</formula>
    </cfRule>
  </conditionalFormatting>
  <conditionalFormatting sqref="AA28">
    <cfRule type="cellIs" dxfId="1" priority="1" operator="equal">
      <formula>0</formula>
    </cfRule>
  </conditionalFormatting>
  <pageMargins left="0.47244094488188981" right="0" top="0.31496062992125984" bottom="0.19685039370078741" header="0.19685039370078741" footer="0"/>
  <pageSetup paperSize="9"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outlinePr summaryRight="0"/>
    <pageSetUpPr fitToPage="1"/>
  </sheetPr>
  <dimension ref="A1:AQ34"/>
  <sheetViews>
    <sheetView workbookViewId="0">
      <pane xSplit="4" ySplit="8" topLeftCell="X19" activePane="bottomRight" state="frozen"/>
      <selection pane="topRight" activeCell="E1" sqref="E1"/>
      <selection pane="bottomLeft" activeCell="A9" sqref="A9"/>
      <selection pane="bottomRight" activeCell="U26" sqref="U26"/>
    </sheetView>
  </sheetViews>
  <sheetFormatPr baseColWidth="10" defaultRowHeight="13.5" customHeight="1" x14ac:dyDescent="0.2"/>
  <cols>
    <col min="1" max="1" width="3" style="90" bestFit="1" customWidth="1"/>
    <col min="2" max="2" width="14.7109375" style="90" customWidth="1"/>
    <col min="3" max="3" width="4" style="90" customWidth="1"/>
    <col min="4" max="4" width="27.7109375" style="90" customWidth="1"/>
    <col min="5" max="5" width="11.140625" style="90" customWidth="1"/>
    <col min="6" max="6" width="9.7109375" style="89" customWidth="1"/>
    <col min="7" max="7" width="5.85546875" style="89" customWidth="1"/>
    <col min="8" max="8" width="10.140625" style="90" customWidth="1"/>
    <col min="9" max="9" width="9.85546875" style="90" customWidth="1"/>
    <col min="10" max="13" width="8.5703125" style="90" customWidth="1"/>
    <col min="14" max="14" width="8.5703125" style="126" customWidth="1"/>
    <col min="15" max="16" width="8.5703125" style="104" customWidth="1"/>
    <col min="17" max="17" width="8.5703125" style="90" customWidth="1"/>
    <col min="18" max="18" width="6.28515625" style="90" customWidth="1"/>
    <col min="19" max="19" width="12.42578125" style="90" customWidth="1"/>
    <col min="20" max="20" width="12" style="127" customWidth="1"/>
    <col min="21" max="24" width="9.7109375" style="110" customWidth="1"/>
    <col min="25" max="25" width="12.140625" style="90" customWidth="1"/>
    <col min="26" max="26" width="10.85546875" style="90" customWidth="1"/>
    <col min="27" max="29" width="9.7109375" style="90" customWidth="1"/>
    <col min="30" max="30" width="10.5703125" style="90" customWidth="1"/>
    <col min="31" max="31" width="10.85546875" style="90" customWidth="1"/>
    <col min="32" max="34" width="10.42578125" style="90" customWidth="1"/>
    <col min="35" max="35" width="9.28515625" style="90" customWidth="1"/>
    <col min="36" max="36" width="10.5703125" style="90" customWidth="1"/>
    <col min="37" max="37" width="10" style="90" customWidth="1"/>
    <col min="38" max="40" width="10.42578125" style="90" customWidth="1"/>
    <col min="41" max="41" width="12.85546875" style="90" customWidth="1"/>
    <col min="42" max="42" width="13.5703125" style="104" bestFit="1" customWidth="1"/>
    <col min="43" max="16384" width="11.42578125" style="104"/>
  </cols>
  <sheetData>
    <row r="1" spans="1:43" ht="18" customHeight="1" x14ac:dyDescent="0.2">
      <c r="A1" s="97" t="str">
        <f>+'NOMINA MES'!A1</f>
        <v>COOP AGRICOLA GANADERA AARON CASTELLANOS</v>
      </c>
      <c r="B1" s="97"/>
      <c r="C1" s="106"/>
      <c r="D1" s="107"/>
      <c r="E1" s="107"/>
      <c r="F1" s="104"/>
      <c r="G1" s="104"/>
      <c r="H1" s="104"/>
      <c r="I1" s="104"/>
      <c r="J1" s="115"/>
      <c r="K1" s="104"/>
      <c r="L1" s="104"/>
      <c r="M1" s="361">
        <v>1</v>
      </c>
      <c r="N1" s="361">
        <v>0.65</v>
      </c>
      <c r="O1" s="110" t="s">
        <v>172</v>
      </c>
      <c r="P1" s="110"/>
      <c r="Q1" s="110"/>
      <c r="R1" s="110"/>
      <c r="S1" s="110">
        <f>5*5+4</f>
        <v>29</v>
      </c>
      <c r="T1" s="104"/>
      <c r="U1" s="104" t="s">
        <v>190</v>
      </c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258"/>
      <c r="AG1" s="258"/>
      <c r="AH1" s="258"/>
      <c r="AI1" s="104"/>
      <c r="AJ1" s="104"/>
      <c r="AK1" s="104"/>
      <c r="AL1" s="104"/>
      <c r="AM1" s="104"/>
      <c r="AN1" s="104"/>
      <c r="AO1" s="104"/>
    </row>
    <row r="2" spans="1:43" ht="13.5" customHeight="1" x14ac:dyDescent="0.2">
      <c r="A2" s="111"/>
      <c r="B2" s="104"/>
      <c r="C2" s="112"/>
      <c r="D2" s="104"/>
      <c r="E2" s="104"/>
      <c r="F2" s="104"/>
      <c r="G2" s="104"/>
      <c r="H2" s="104"/>
      <c r="I2" s="104"/>
      <c r="J2" s="115"/>
      <c r="K2" s="104"/>
      <c r="L2" s="118" t="s">
        <v>67</v>
      </c>
      <c r="M2" s="157">
        <f>10*8+4*2</f>
        <v>88</v>
      </c>
      <c r="N2" s="157">
        <f>10*5+2*4</f>
        <v>58</v>
      </c>
      <c r="O2" s="110" t="s">
        <v>173</v>
      </c>
      <c r="P2" s="110"/>
      <c r="Q2" s="110"/>
      <c r="R2" s="110"/>
      <c r="S2" s="104">
        <f>5*8+4</f>
        <v>44</v>
      </c>
      <c r="T2" s="104"/>
      <c r="U2" s="376">
        <f>+M4+'1º QUINCENA'!M4</f>
        <v>200</v>
      </c>
      <c r="V2" s="376">
        <f>+N4+'1º QUINCENA'!N4</f>
        <v>131</v>
      </c>
      <c r="W2" s="104"/>
      <c r="X2" s="104"/>
      <c r="Y2" s="104"/>
      <c r="Z2" s="104"/>
      <c r="AA2" s="104"/>
      <c r="AB2" s="104"/>
      <c r="AC2" s="104"/>
      <c r="AD2" s="104"/>
      <c r="AE2" s="104"/>
      <c r="AF2" s="259"/>
      <c r="AG2" s="259"/>
      <c r="AH2" s="259"/>
      <c r="AI2" s="104"/>
      <c r="AJ2" s="104"/>
      <c r="AK2" s="104"/>
      <c r="AL2" s="104"/>
      <c r="AM2" s="104"/>
      <c r="AN2" s="104"/>
      <c r="AO2" s="104"/>
    </row>
    <row r="3" spans="1:43" ht="13.5" customHeight="1" x14ac:dyDescent="0.2">
      <c r="A3" s="117"/>
      <c r="B3" s="81" t="s">
        <v>82</v>
      </c>
      <c r="C3" s="112"/>
      <c r="D3" s="82">
        <f>+'NOMINA MES'!J1</f>
        <v>44926</v>
      </c>
      <c r="E3" s="104"/>
      <c r="F3" s="113"/>
      <c r="G3" s="113"/>
      <c r="H3" s="108"/>
      <c r="I3" s="114"/>
      <c r="J3" s="115"/>
      <c r="K3" s="104"/>
      <c r="L3" s="118" t="s">
        <v>53</v>
      </c>
      <c r="M3" s="157">
        <f>8+8</f>
        <v>16</v>
      </c>
      <c r="N3" s="157">
        <f>5+5</f>
        <v>10</v>
      </c>
      <c r="O3" s="110"/>
      <c r="P3" s="110"/>
      <c r="Q3" s="110"/>
      <c r="R3" s="110"/>
      <c r="S3" s="104"/>
      <c r="T3" s="104"/>
      <c r="U3" s="104">
        <f>22*8+4*4+8</f>
        <v>200</v>
      </c>
      <c r="V3" s="104">
        <f>22*5+4*4+5</f>
        <v>131</v>
      </c>
      <c r="W3" s="104"/>
      <c r="X3" s="104"/>
      <c r="Y3" s="104"/>
      <c r="Z3" s="104"/>
      <c r="AA3" s="104"/>
      <c r="AB3" s="104"/>
      <c r="AC3" s="104"/>
      <c r="AD3" s="104"/>
      <c r="AE3" s="104"/>
      <c r="AF3" s="258"/>
      <c r="AG3" s="258"/>
      <c r="AH3" s="258"/>
      <c r="AI3" s="104"/>
      <c r="AJ3" s="104"/>
      <c r="AK3" s="104"/>
      <c r="AL3" s="104"/>
      <c r="AM3" s="104"/>
      <c r="AN3" s="104"/>
      <c r="AO3" s="104"/>
      <c r="AP3" s="103">
        <f>+AO29+'1º QUINCENA'!AO29+'NOMINA MES'!AI8</f>
        <v>2858192</v>
      </c>
    </row>
    <row r="4" spans="1:43" ht="13.5" customHeight="1" x14ac:dyDescent="0.2">
      <c r="A4" s="104"/>
      <c r="B4" s="104"/>
      <c r="C4" s="112"/>
      <c r="D4" s="104"/>
      <c r="E4" s="104"/>
      <c r="F4" s="463" t="s">
        <v>128</v>
      </c>
      <c r="G4" s="464"/>
      <c r="H4" s="464"/>
      <c r="I4" s="465"/>
      <c r="J4" s="104"/>
      <c r="K4" s="104"/>
      <c r="L4" s="57" t="s">
        <v>88</v>
      </c>
      <c r="M4" s="167">
        <f>SUM(M2:M3)</f>
        <v>104</v>
      </c>
      <c r="N4" s="167">
        <f>SUM(N2:N3)</f>
        <v>68</v>
      </c>
      <c r="O4" s="110"/>
      <c r="P4" s="110"/>
      <c r="Q4" s="110"/>
      <c r="R4" s="110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258"/>
      <c r="AG4" s="258"/>
      <c r="AH4" s="258"/>
      <c r="AI4" s="104"/>
      <c r="AJ4" s="104"/>
      <c r="AK4" s="104"/>
      <c r="AL4" s="104"/>
      <c r="AM4" s="104"/>
      <c r="AN4" s="104"/>
      <c r="AO4" s="104"/>
    </row>
    <row r="5" spans="1:43" ht="13.5" customHeight="1" thickBot="1" x14ac:dyDescent="0.25">
      <c r="A5" s="104"/>
      <c r="B5" s="119"/>
      <c r="C5" s="112"/>
      <c r="D5" s="104"/>
      <c r="E5" s="113"/>
      <c r="F5" s="466" t="s">
        <v>129</v>
      </c>
      <c r="G5" s="467"/>
      <c r="H5" s="467"/>
      <c r="I5" s="468"/>
      <c r="J5" s="104"/>
      <c r="K5" s="104"/>
      <c r="L5" s="104"/>
      <c r="M5" s="104"/>
      <c r="N5" s="104"/>
      <c r="O5" s="110"/>
      <c r="P5" s="110"/>
      <c r="Q5" s="110"/>
      <c r="R5" s="110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258"/>
      <c r="AG5" s="258"/>
      <c r="AH5" s="258"/>
      <c r="AI5" s="104"/>
      <c r="AJ5" s="104"/>
      <c r="AK5" s="104"/>
      <c r="AL5" s="104"/>
      <c r="AM5" s="104"/>
      <c r="AN5" s="104"/>
      <c r="AO5" s="104"/>
    </row>
    <row r="6" spans="1:43" ht="13.5" customHeight="1" thickBot="1" x14ac:dyDescent="0.25">
      <c r="A6" s="104"/>
      <c r="B6" s="117"/>
      <c r="C6" s="111"/>
      <c r="D6" s="113"/>
      <c r="E6" s="113"/>
      <c r="F6" s="120"/>
      <c r="G6" s="120"/>
      <c r="H6" s="113"/>
      <c r="I6" s="104"/>
      <c r="J6" s="170" t="s">
        <v>180</v>
      </c>
      <c r="K6" s="170" t="s">
        <v>96</v>
      </c>
      <c r="L6" s="104"/>
      <c r="M6" s="104"/>
      <c r="N6" s="104"/>
      <c r="O6" s="109"/>
      <c r="P6" s="109"/>
      <c r="Q6" s="116"/>
      <c r="R6" s="110"/>
      <c r="S6" s="110"/>
      <c r="T6" s="110"/>
      <c r="U6" s="104"/>
      <c r="V6" s="104"/>
      <c r="W6" s="104"/>
      <c r="X6" s="104"/>
      <c r="Y6" s="104"/>
      <c r="Z6" s="192">
        <v>4669</v>
      </c>
      <c r="AA6" s="104"/>
      <c r="AB6" s="104"/>
      <c r="AC6" s="104"/>
      <c r="AD6" s="264">
        <v>0</v>
      </c>
      <c r="AE6" s="104"/>
      <c r="AF6" s="104"/>
      <c r="AG6" s="104"/>
      <c r="AH6" s="104"/>
      <c r="AI6" s="104"/>
      <c r="AJ6" s="104"/>
      <c r="AK6" s="104"/>
      <c r="AL6" s="104"/>
      <c r="AM6" s="191" t="s">
        <v>102</v>
      </c>
      <c r="AN6" s="104"/>
      <c r="AO6" s="104"/>
    </row>
    <row r="7" spans="1:43" ht="13.5" customHeight="1" x14ac:dyDescent="0.2">
      <c r="A7" s="469"/>
      <c r="B7" s="474" t="s">
        <v>19</v>
      </c>
      <c r="C7" s="474" t="s">
        <v>6</v>
      </c>
      <c r="D7" s="474" t="s">
        <v>20</v>
      </c>
      <c r="E7" s="474" t="s">
        <v>3</v>
      </c>
      <c r="F7" s="474" t="s">
        <v>68</v>
      </c>
      <c r="G7" s="474" t="s">
        <v>174</v>
      </c>
      <c r="H7" s="469" t="s">
        <v>69</v>
      </c>
      <c r="I7" s="474" t="s">
        <v>70</v>
      </c>
      <c r="J7" s="477" t="s">
        <v>51</v>
      </c>
      <c r="K7" s="478"/>
      <c r="L7" s="478"/>
      <c r="M7" s="478"/>
      <c r="N7" s="478"/>
      <c r="O7" s="478"/>
      <c r="P7" s="478"/>
      <c r="Q7" s="478"/>
      <c r="R7" s="478"/>
      <c r="S7" s="471" t="s">
        <v>52</v>
      </c>
      <c r="T7" s="472"/>
      <c r="U7" s="472"/>
      <c r="V7" s="472"/>
      <c r="W7" s="472"/>
      <c r="X7" s="472"/>
      <c r="Y7" s="472"/>
      <c r="Z7" s="472"/>
      <c r="AA7" s="473"/>
      <c r="AB7" s="378"/>
      <c r="AC7" s="469" t="s">
        <v>71</v>
      </c>
      <c r="AD7" s="469" t="s">
        <v>2</v>
      </c>
      <c r="AE7" s="469" t="s">
        <v>72</v>
      </c>
      <c r="AF7" s="480" t="s">
        <v>73</v>
      </c>
      <c r="AG7" s="380"/>
      <c r="AH7" s="380"/>
      <c r="AI7" s="479" t="s">
        <v>74</v>
      </c>
      <c r="AJ7" s="475"/>
      <c r="AK7" s="475"/>
      <c r="AL7" s="469" t="s">
        <v>75</v>
      </c>
      <c r="AM7" s="476" t="s">
        <v>90</v>
      </c>
      <c r="AN7" s="469" t="s">
        <v>143</v>
      </c>
      <c r="AO7" s="469" t="s">
        <v>28</v>
      </c>
    </row>
    <row r="8" spans="1:43" ht="33.75" customHeight="1" x14ac:dyDescent="0.2">
      <c r="A8" s="470"/>
      <c r="B8" s="475" t="s">
        <v>69</v>
      </c>
      <c r="C8" s="475" t="s">
        <v>69</v>
      </c>
      <c r="D8" s="475" t="s">
        <v>69</v>
      </c>
      <c r="E8" s="475" t="s">
        <v>69</v>
      </c>
      <c r="F8" s="475" t="s">
        <v>69</v>
      </c>
      <c r="G8" s="475" t="s">
        <v>69</v>
      </c>
      <c r="H8" s="470"/>
      <c r="I8" s="475" t="s">
        <v>70</v>
      </c>
      <c r="J8" s="286" t="s">
        <v>57</v>
      </c>
      <c r="K8" s="285" t="s">
        <v>76</v>
      </c>
      <c r="L8" s="285" t="s">
        <v>54</v>
      </c>
      <c r="M8" s="285" t="s">
        <v>77</v>
      </c>
      <c r="N8" s="285" t="s">
        <v>137</v>
      </c>
      <c r="O8" s="285" t="s">
        <v>55</v>
      </c>
      <c r="P8" s="379" t="s">
        <v>192</v>
      </c>
      <c r="Q8" s="146" t="s">
        <v>56</v>
      </c>
      <c r="R8" s="285" t="s">
        <v>7</v>
      </c>
      <c r="S8" s="286" t="s">
        <v>57</v>
      </c>
      <c r="T8" s="285" t="s">
        <v>76</v>
      </c>
      <c r="U8" s="285" t="s">
        <v>79</v>
      </c>
      <c r="V8" s="285" t="s">
        <v>54</v>
      </c>
      <c r="W8" s="285" t="s">
        <v>80</v>
      </c>
      <c r="X8" s="285" t="s">
        <v>58</v>
      </c>
      <c r="Y8" s="285" t="s">
        <v>78</v>
      </c>
      <c r="Z8" s="285" t="s">
        <v>87</v>
      </c>
      <c r="AA8" s="285" t="s">
        <v>7</v>
      </c>
      <c r="AB8" s="377" t="s">
        <v>192</v>
      </c>
      <c r="AC8" s="470"/>
      <c r="AD8" s="470"/>
      <c r="AE8" s="470"/>
      <c r="AF8" s="481"/>
      <c r="AG8" s="381" t="s">
        <v>197</v>
      </c>
      <c r="AH8" s="381" t="s">
        <v>198</v>
      </c>
      <c r="AI8" s="286" t="s">
        <v>59</v>
      </c>
      <c r="AJ8" s="286" t="s">
        <v>60</v>
      </c>
      <c r="AK8" s="286" t="s">
        <v>138</v>
      </c>
      <c r="AL8" s="470"/>
      <c r="AM8" s="470"/>
      <c r="AN8" s="470"/>
      <c r="AO8" s="470"/>
    </row>
    <row r="9" spans="1:43" s="350" customFormat="1" ht="20.100000000000001" customHeight="1" x14ac:dyDescent="0.2">
      <c r="A9" s="165">
        <v>1</v>
      </c>
      <c r="B9" s="201">
        <v>23407867149</v>
      </c>
      <c r="C9" s="202">
        <v>3</v>
      </c>
      <c r="D9" s="365" t="s">
        <v>149</v>
      </c>
      <c r="E9" s="203">
        <v>44710</v>
      </c>
      <c r="F9" s="83" t="s">
        <v>130</v>
      </c>
      <c r="G9" s="343">
        <f>+'1º QUINCENA'!G9</f>
        <v>100</v>
      </c>
      <c r="H9" s="166" t="str">
        <f>+'1º QUINCENA'!H9</f>
        <v>CALIF PROD</v>
      </c>
      <c r="I9" s="192">
        <f>+'1º QUINCENA'!I9</f>
        <v>773.8</v>
      </c>
      <c r="J9" s="84">
        <f>+$M$2+8</f>
        <v>96</v>
      </c>
      <c r="K9" s="84">
        <f>+$M$3</f>
        <v>16</v>
      </c>
      <c r="L9" s="168"/>
      <c r="M9" s="168">
        <v>1</v>
      </c>
      <c r="N9" s="168"/>
      <c r="O9" s="168"/>
      <c r="P9" s="168">
        <v>4</v>
      </c>
      <c r="Q9" s="193">
        <f t="shared" ref="Q9:Q25" si="0">SUM(J9:O9)</f>
        <v>113</v>
      </c>
      <c r="R9" s="204">
        <f t="shared" ref="R9:R28" si="1">DATEDIF(E9,$D$3,"y")</f>
        <v>0</v>
      </c>
      <c r="S9" s="169">
        <f t="shared" ref="S9:S13" si="2">+J9*I9</f>
        <v>74284.799999999988</v>
      </c>
      <c r="T9" s="169">
        <f t="shared" ref="T9:T13" si="3">+K9*I9</f>
        <v>12380.8</v>
      </c>
      <c r="U9" s="169"/>
      <c r="V9" s="169">
        <f t="shared" ref="V9:V13" si="4">+L9*I9</f>
        <v>0</v>
      </c>
      <c r="W9" s="169">
        <f>+I9*M9*2</f>
        <v>1547.6</v>
      </c>
      <c r="X9" s="169">
        <f t="shared" ref="X9:X13" si="5">+O9*I9</f>
        <v>0</v>
      </c>
      <c r="Y9" s="169">
        <f t="shared" ref="Y9:Y11" si="6">+N9*(-1)*I9</f>
        <v>0</v>
      </c>
      <c r="Z9" s="169">
        <f>IF(N9&gt;0,0,$Z$6*G9/100)</f>
        <v>4669</v>
      </c>
      <c r="AA9" s="169"/>
      <c r="AB9" s="169">
        <f>+I9*1.5*P9</f>
        <v>4642.7999999999993</v>
      </c>
      <c r="AC9" s="85"/>
      <c r="AD9" s="169">
        <v>22976.740000000034</v>
      </c>
      <c r="AE9" s="100">
        <f>SUM(S9:AD9)+AJ9</f>
        <v>120501.74000000003</v>
      </c>
      <c r="AF9" s="101"/>
      <c r="AG9" s="101"/>
      <c r="AH9" s="101"/>
      <c r="AI9" s="205"/>
      <c r="AJ9" s="205"/>
      <c r="AK9" s="205"/>
      <c r="AL9" s="102">
        <f>+AE9</f>
        <v>120501.74000000003</v>
      </c>
      <c r="AM9" s="275"/>
      <c r="AN9" s="366">
        <f>+AL9*0.175+AL9/G9*100*0.03</f>
        <v>24702.856700000008</v>
      </c>
      <c r="AO9" s="190">
        <f>ROUNDUP(AL9+AF9-AN9,0)</f>
        <v>95799</v>
      </c>
      <c r="AP9" s="349"/>
      <c r="AQ9" s="349"/>
    </row>
    <row r="10" spans="1:43" s="350" customFormat="1" ht="20.100000000000001" customHeight="1" x14ac:dyDescent="0.2">
      <c r="A10" s="165">
        <f>+A9+1</f>
        <v>2</v>
      </c>
      <c r="B10" s="201">
        <v>20426095034</v>
      </c>
      <c r="C10" s="202">
        <v>4</v>
      </c>
      <c r="D10" s="163" t="s">
        <v>150</v>
      </c>
      <c r="E10" s="203">
        <v>44710</v>
      </c>
      <c r="F10" s="83" t="s">
        <v>130</v>
      </c>
      <c r="G10" s="342">
        <f>+'1º QUINCENA'!G10</f>
        <v>65</v>
      </c>
      <c r="H10" s="166" t="str">
        <f>+'1º QUINCENA'!H10</f>
        <v>CALIF PROD</v>
      </c>
      <c r="I10" s="192">
        <f>+'1º QUINCENA'!I10</f>
        <v>773.8</v>
      </c>
      <c r="J10" s="84">
        <f>+$N$2+5</f>
        <v>63</v>
      </c>
      <c r="K10" s="84">
        <f>+$N$3</f>
        <v>10</v>
      </c>
      <c r="L10" s="168"/>
      <c r="M10" s="168">
        <v>2</v>
      </c>
      <c r="N10" s="168"/>
      <c r="O10" s="168"/>
      <c r="P10" s="168"/>
      <c r="Q10" s="193">
        <f t="shared" si="0"/>
        <v>75</v>
      </c>
      <c r="R10" s="204">
        <f t="shared" si="1"/>
        <v>0</v>
      </c>
      <c r="S10" s="169">
        <f t="shared" si="2"/>
        <v>48749.399999999994</v>
      </c>
      <c r="T10" s="169">
        <f t="shared" si="3"/>
        <v>7738</v>
      </c>
      <c r="U10" s="169"/>
      <c r="V10" s="169">
        <f t="shared" si="4"/>
        <v>0</v>
      </c>
      <c r="W10" s="169">
        <f>+I10*M10*2</f>
        <v>3095.2</v>
      </c>
      <c r="X10" s="169">
        <f t="shared" si="5"/>
        <v>0</v>
      </c>
      <c r="Y10" s="169">
        <f t="shared" si="6"/>
        <v>0</v>
      </c>
      <c r="Z10" s="169">
        <f t="shared" ref="Z10:Z11" si="7">IF(N10&gt;0,0,$Z$6*G10/100)</f>
        <v>3034.85</v>
      </c>
      <c r="AA10" s="169"/>
      <c r="AB10" s="169">
        <f t="shared" ref="AB10:AB28" si="8">+I10*1.5*P10</f>
        <v>0</v>
      </c>
      <c r="AC10" s="85"/>
      <c r="AD10" s="169">
        <v>11917.060000000005</v>
      </c>
      <c r="AE10" s="100">
        <f>SUM(S10:AD10)+AJ10</f>
        <v>74534.509999999995</v>
      </c>
      <c r="AF10" s="101"/>
      <c r="AG10" s="101"/>
      <c r="AH10" s="101"/>
      <c r="AI10" s="205"/>
      <c r="AJ10" s="205"/>
      <c r="AK10" s="205"/>
      <c r="AL10" s="102">
        <f t="shared" ref="AL10:AL25" si="9">+AE10</f>
        <v>74534.509999999995</v>
      </c>
      <c r="AM10" s="275"/>
      <c r="AN10" s="275">
        <f>+AL10*0.175+AL10*100/G10*0.03</f>
        <v>16483.593557692304</v>
      </c>
      <c r="AO10" s="190">
        <f>ROUNDUP(AL10+AF10-AN10,0)</f>
        <v>58051</v>
      </c>
      <c r="AP10" s="349"/>
      <c r="AQ10" s="349"/>
    </row>
    <row r="11" spans="1:43" s="350" customFormat="1" ht="20.100000000000001" customHeight="1" x14ac:dyDescent="0.2">
      <c r="A11" s="165">
        <f t="shared" ref="A11:A25" si="10">+A10+1</f>
        <v>3</v>
      </c>
      <c r="B11" s="201">
        <v>20355584098</v>
      </c>
      <c r="C11" s="202">
        <v>5</v>
      </c>
      <c r="D11" s="163" t="s">
        <v>151</v>
      </c>
      <c r="E11" s="203">
        <v>44710</v>
      </c>
      <c r="F11" s="83" t="s">
        <v>130</v>
      </c>
      <c r="G11" s="342">
        <f>+'1º QUINCENA'!G11</f>
        <v>65</v>
      </c>
      <c r="H11" s="166" t="str">
        <f>+'1º QUINCENA'!H11</f>
        <v>CALIF PROD</v>
      </c>
      <c r="I11" s="192">
        <f>+'1º QUINCENA'!I11</f>
        <v>773.8</v>
      </c>
      <c r="J11" s="84">
        <f>+$N$2+5</f>
        <v>63</v>
      </c>
      <c r="K11" s="84">
        <f t="shared" ref="K11:K13" si="11">+$N$3</f>
        <v>10</v>
      </c>
      <c r="L11" s="168"/>
      <c r="M11" s="168">
        <v>2</v>
      </c>
      <c r="N11" s="168"/>
      <c r="O11" s="168"/>
      <c r="P11" s="168"/>
      <c r="Q11" s="193">
        <f t="shared" si="0"/>
        <v>75</v>
      </c>
      <c r="R11" s="204">
        <f t="shared" si="1"/>
        <v>0</v>
      </c>
      <c r="S11" s="169">
        <f t="shared" si="2"/>
        <v>48749.399999999994</v>
      </c>
      <c r="T11" s="169">
        <f t="shared" si="3"/>
        <v>7738</v>
      </c>
      <c r="U11" s="169"/>
      <c r="V11" s="169">
        <f t="shared" si="4"/>
        <v>0</v>
      </c>
      <c r="W11" s="169">
        <f t="shared" ref="W11:W25" si="12">+I11*M11*2</f>
        <v>3095.2</v>
      </c>
      <c r="X11" s="169">
        <f t="shared" si="5"/>
        <v>0</v>
      </c>
      <c r="Y11" s="169">
        <f t="shared" si="6"/>
        <v>0</v>
      </c>
      <c r="Z11" s="169">
        <f t="shared" si="7"/>
        <v>3034.85</v>
      </c>
      <c r="AA11" s="169"/>
      <c r="AB11" s="169">
        <f t="shared" si="8"/>
        <v>0</v>
      </c>
      <c r="AC11" s="85"/>
      <c r="AD11" s="169">
        <v>14865.329999999994</v>
      </c>
      <c r="AE11" s="100">
        <f t="shared" ref="AE11:AE28" si="13">SUM(S11:AD11)+AJ11</f>
        <v>77482.779999999984</v>
      </c>
      <c r="AF11" s="101"/>
      <c r="AG11" s="101"/>
      <c r="AH11" s="101"/>
      <c r="AI11" s="205"/>
      <c r="AJ11" s="205"/>
      <c r="AK11" s="205"/>
      <c r="AL11" s="102">
        <f t="shared" si="9"/>
        <v>77482.779999999984</v>
      </c>
      <c r="AM11" s="275"/>
      <c r="AN11" s="275">
        <f t="shared" ref="AN11:AN13" si="14">+AL11*0.175+AL11*100/G11*0.03</f>
        <v>17135.614807692305</v>
      </c>
      <c r="AO11" s="190">
        <f t="shared" ref="AO11:AO25" si="15">ROUNDUP(AL11+AF11-AN11,0)</f>
        <v>60348</v>
      </c>
      <c r="AP11" s="349"/>
      <c r="AQ11" s="349"/>
    </row>
    <row r="12" spans="1:43" s="350" customFormat="1" ht="20.100000000000001" customHeight="1" x14ac:dyDescent="0.2">
      <c r="A12" s="165">
        <f t="shared" si="10"/>
        <v>4</v>
      </c>
      <c r="B12" s="201">
        <v>20351621738</v>
      </c>
      <c r="C12" s="202">
        <v>7</v>
      </c>
      <c r="D12" s="163" t="s">
        <v>153</v>
      </c>
      <c r="E12" s="203">
        <v>44710</v>
      </c>
      <c r="F12" s="83" t="s">
        <v>130</v>
      </c>
      <c r="G12" s="342">
        <f>+'1º QUINCENA'!G12</f>
        <v>65</v>
      </c>
      <c r="H12" s="166" t="str">
        <f>+'1º QUINCENA'!H12</f>
        <v>PEON PRACTICO PROD</v>
      </c>
      <c r="I12" s="192">
        <f>+'1º QUINCENA'!I12</f>
        <v>701.86</v>
      </c>
      <c r="J12" s="84">
        <f>+$N$2+5</f>
        <v>63</v>
      </c>
      <c r="K12" s="84">
        <f t="shared" si="11"/>
        <v>10</v>
      </c>
      <c r="L12" s="168"/>
      <c r="M12" s="168">
        <v>2</v>
      </c>
      <c r="N12" s="168"/>
      <c r="O12" s="168"/>
      <c r="P12" s="168"/>
      <c r="Q12" s="193">
        <f t="shared" si="0"/>
        <v>75</v>
      </c>
      <c r="R12" s="204">
        <f t="shared" si="1"/>
        <v>0</v>
      </c>
      <c r="S12" s="169">
        <f t="shared" si="2"/>
        <v>44217.18</v>
      </c>
      <c r="T12" s="169">
        <f t="shared" si="3"/>
        <v>7018.6</v>
      </c>
      <c r="U12" s="169"/>
      <c r="V12" s="169">
        <f t="shared" si="4"/>
        <v>0</v>
      </c>
      <c r="W12" s="169">
        <f t="shared" si="12"/>
        <v>2807.44</v>
      </c>
      <c r="X12" s="169">
        <f t="shared" si="5"/>
        <v>0</v>
      </c>
      <c r="Y12" s="169">
        <f>+N12*I12</f>
        <v>0</v>
      </c>
      <c r="Z12" s="169">
        <f>IF(N12&lt;0,0,$Z$6*G12/100)*1</f>
        <v>3034.85</v>
      </c>
      <c r="AA12" s="169"/>
      <c r="AB12" s="169">
        <f t="shared" si="8"/>
        <v>0</v>
      </c>
      <c r="AC12" s="85"/>
      <c r="AD12" s="169">
        <v>13417.970000000001</v>
      </c>
      <c r="AE12" s="100">
        <f t="shared" si="13"/>
        <v>70496.040000000008</v>
      </c>
      <c r="AF12" s="101"/>
      <c r="AG12" s="101"/>
      <c r="AH12" s="101"/>
      <c r="AI12" s="205"/>
      <c r="AJ12" s="205"/>
      <c r="AK12" s="205"/>
      <c r="AL12" s="102">
        <f t="shared" si="9"/>
        <v>70496.040000000008</v>
      </c>
      <c r="AM12" s="275"/>
      <c r="AN12" s="275">
        <f t="shared" si="14"/>
        <v>15590.470384615386</v>
      </c>
      <c r="AO12" s="190">
        <f t="shared" si="15"/>
        <v>54906</v>
      </c>
      <c r="AP12" s="349">
        <v>22564</v>
      </c>
      <c r="AQ12" s="349">
        <f>+AO12-AP12</f>
        <v>32342</v>
      </c>
    </row>
    <row r="13" spans="1:43" s="350" customFormat="1" ht="19.5" customHeight="1" x14ac:dyDescent="0.2">
      <c r="A13" s="165">
        <f t="shared" si="10"/>
        <v>5</v>
      </c>
      <c r="B13" s="201">
        <v>20428710399</v>
      </c>
      <c r="C13" s="202">
        <v>8</v>
      </c>
      <c r="D13" s="163" t="s">
        <v>154</v>
      </c>
      <c r="E13" s="203">
        <v>44710</v>
      </c>
      <c r="F13" s="83" t="s">
        <v>130</v>
      </c>
      <c r="G13" s="342">
        <f>+'1º QUINCENA'!G13</f>
        <v>65</v>
      </c>
      <c r="H13" s="166" t="str">
        <f>+'1º QUINCENA'!H13</f>
        <v>CALIF PROD</v>
      </c>
      <c r="I13" s="192">
        <f>+'1º QUINCENA'!I13</f>
        <v>773.8</v>
      </c>
      <c r="J13" s="84">
        <f>+$N$2+5</f>
        <v>63</v>
      </c>
      <c r="K13" s="84">
        <f t="shared" si="11"/>
        <v>10</v>
      </c>
      <c r="L13" s="168"/>
      <c r="M13" s="168">
        <v>2</v>
      </c>
      <c r="N13" s="168"/>
      <c r="O13" s="168"/>
      <c r="P13" s="168"/>
      <c r="Q13" s="193">
        <f t="shared" si="0"/>
        <v>75</v>
      </c>
      <c r="R13" s="204">
        <f t="shared" si="1"/>
        <v>0</v>
      </c>
      <c r="S13" s="169">
        <f t="shared" si="2"/>
        <v>48749.399999999994</v>
      </c>
      <c r="T13" s="169">
        <f t="shared" si="3"/>
        <v>7738</v>
      </c>
      <c r="U13" s="169"/>
      <c r="V13" s="169">
        <f t="shared" si="4"/>
        <v>0</v>
      </c>
      <c r="W13" s="169">
        <f t="shared" si="12"/>
        <v>3095.2</v>
      </c>
      <c r="X13" s="169">
        <f t="shared" si="5"/>
        <v>0</v>
      </c>
      <c r="Y13" s="169">
        <f>+N13*(1)*I13</f>
        <v>0</v>
      </c>
      <c r="Z13" s="169">
        <f t="shared" ref="Z13:Z25" si="16">IF(N13&lt;0,0,$Z$6*G13/100)</f>
        <v>3034.85</v>
      </c>
      <c r="AA13" s="169"/>
      <c r="AB13" s="169">
        <f t="shared" si="8"/>
        <v>0</v>
      </c>
      <c r="AC13" s="85"/>
      <c r="AD13" s="169">
        <v>14256.280000000006</v>
      </c>
      <c r="AE13" s="100">
        <f t="shared" si="13"/>
        <v>76873.73</v>
      </c>
      <c r="AF13" s="101"/>
      <c r="AG13" s="101"/>
      <c r="AH13" s="101"/>
      <c r="AI13" s="205"/>
      <c r="AJ13" s="205"/>
      <c r="AK13" s="205"/>
      <c r="AL13" s="102">
        <f t="shared" si="9"/>
        <v>76873.73</v>
      </c>
      <c r="AM13" s="275"/>
      <c r="AN13" s="275">
        <f t="shared" si="14"/>
        <v>17000.921057692307</v>
      </c>
      <c r="AO13" s="435">
        <f t="shared" si="15"/>
        <v>59873</v>
      </c>
      <c r="AP13" s="349"/>
      <c r="AQ13" s="349"/>
    </row>
    <row r="14" spans="1:43" s="350" customFormat="1" ht="19.5" customHeight="1" x14ac:dyDescent="0.2">
      <c r="A14" s="165">
        <f t="shared" si="10"/>
        <v>6</v>
      </c>
      <c r="B14" s="201">
        <v>23290473969</v>
      </c>
      <c r="C14" s="202">
        <v>9</v>
      </c>
      <c r="D14" s="365" t="s">
        <v>155</v>
      </c>
      <c r="E14" s="203">
        <v>44710</v>
      </c>
      <c r="F14" s="83" t="s">
        <v>130</v>
      </c>
      <c r="G14" s="343">
        <f>+'1º QUINCENA'!G14</f>
        <v>100</v>
      </c>
      <c r="H14" s="166" t="str">
        <f>+'1º QUINCENA'!H14</f>
        <v>ESPECIALIZADO ING</v>
      </c>
      <c r="I14" s="192">
        <f>+'1º QUINCENA'!I14</f>
        <v>853.12</v>
      </c>
      <c r="J14" s="84">
        <f>+$M$2+8</f>
        <v>96</v>
      </c>
      <c r="K14" s="84">
        <f>+$M$3</f>
        <v>16</v>
      </c>
      <c r="L14" s="168"/>
      <c r="M14" s="168">
        <v>1</v>
      </c>
      <c r="N14" s="168"/>
      <c r="O14" s="168"/>
      <c r="P14" s="168"/>
      <c r="Q14" s="193">
        <f t="shared" si="0"/>
        <v>113</v>
      </c>
      <c r="R14" s="204">
        <f t="shared" si="1"/>
        <v>0</v>
      </c>
      <c r="S14" s="169">
        <f t="shared" ref="S14:S25" si="17">+J14*I14</f>
        <v>81899.520000000004</v>
      </c>
      <c r="T14" s="169">
        <f t="shared" ref="T14:T25" si="18">+K14*I14</f>
        <v>13649.92</v>
      </c>
      <c r="U14" s="321">
        <f>+NETOS!O7/2/0.795</f>
        <v>24716.981132075471</v>
      </c>
      <c r="V14" s="169">
        <f t="shared" ref="V14:V25" si="19">+L14*I14</f>
        <v>0</v>
      </c>
      <c r="W14" s="169">
        <f t="shared" si="12"/>
        <v>1706.24</v>
      </c>
      <c r="X14" s="169">
        <f t="shared" ref="X14:X25" si="20">+O14*I14</f>
        <v>0</v>
      </c>
      <c r="Y14" s="169">
        <f t="shared" ref="Y14:Y25" si="21">+N14*(-1)*I14</f>
        <v>0</v>
      </c>
      <c r="Z14" s="169">
        <f t="shared" si="16"/>
        <v>4669</v>
      </c>
      <c r="AA14" s="169"/>
      <c r="AB14" s="169">
        <f t="shared" si="8"/>
        <v>0</v>
      </c>
      <c r="AC14" s="85"/>
      <c r="AD14" s="169">
        <v>55692.733584905669</v>
      </c>
      <c r="AE14" s="100">
        <f t="shared" si="13"/>
        <v>182334.39471698116</v>
      </c>
      <c r="AF14" s="101"/>
      <c r="AG14" s="101"/>
      <c r="AH14" s="101"/>
      <c r="AI14" s="205"/>
      <c r="AJ14" s="205"/>
      <c r="AK14" s="205"/>
      <c r="AL14" s="102">
        <f t="shared" si="9"/>
        <v>182334.39471698116</v>
      </c>
      <c r="AM14" s="275"/>
      <c r="AN14" s="366">
        <f>+AL14*0.175+AL14/G14*100*0.03</f>
        <v>37378.550916981134</v>
      </c>
      <c r="AO14" s="190">
        <f>ROUNDUP(AL14+AF14-AN14+AG14+AH14,0)</f>
        <v>144956</v>
      </c>
      <c r="AP14" s="349"/>
      <c r="AQ14" s="349"/>
    </row>
    <row r="15" spans="1:43" s="350" customFormat="1" ht="19.5" customHeight="1" x14ac:dyDescent="0.2">
      <c r="A15" s="165">
        <f t="shared" si="10"/>
        <v>7</v>
      </c>
      <c r="B15" s="201">
        <v>20304523825</v>
      </c>
      <c r="C15" s="202">
        <v>10</v>
      </c>
      <c r="D15" s="163" t="s">
        <v>156</v>
      </c>
      <c r="E15" s="203">
        <v>44710</v>
      </c>
      <c r="F15" s="83" t="s">
        <v>130</v>
      </c>
      <c r="G15" s="342">
        <f>+'1º QUINCENA'!G15</f>
        <v>65</v>
      </c>
      <c r="H15" s="166" t="str">
        <f>+'1º QUINCENA'!H15</f>
        <v>CALIF PROD</v>
      </c>
      <c r="I15" s="192">
        <f>+'1º QUINCENA'!I15</f>
        <v>773.8</v>
      </c>
      <c r="J15" s="84">
        <f>+$N$2+5</f>
        <v>63</v>
      </c>
      <c r="K15" s="84">
        <f t="shared" ref="K15:K18" si="22">+$N$3</f>
        <v>10</v>
      </c>
      <c r="L15" s="168"/>
      <c r="M15" s="168">
        <v>2</v>
      </c>
      <c r="N15" s="168"/>
      <c r="O15" s="168"/>
      <c r="P15" s="168"/>
      <c r="Q15" s="193">
        <f t="shared" si="0"/>
        <v>75</v>
      </c>
      <c r="R15" s="204">
        <f t="shared" si="1"/>
        <v>0</v>
      </c>
      <c r="S15" s="169">
        <f t="shared" si="17"/>
        <v>48749.399999999994</v>
      </c>
      <c r="T15" s="169">
        <f t="shared" si="18"/>
        <v>7738</v>
      </c>
      <c r="U15" s="169"/>
      <c r="V15" s="169">
        <f t="shared" si="19"/>
        <v>0</v>
      </c>
      <c r="W15" s="169">
        <f t="shared" si="12"/>
        <v>3095.2</v>
      </c>
      <c r="X15" s="169">
        <f t="shared" si="20"/>
        <v>0</v>
      </c>
      <c r="Y15" s="169">
        <f t="shared" si="21"/>
        <v>0</v>
      </c>
      <c r="Z15" s="169">
        <f>IF(N15&lt;0,0,$Z$6*G15/100)</f>
        <v>3034.85</v>
      </c>
      <c r="AA15" s="169"/>
      <c r="AB15" s="169">
        <f t="shared" si="8"/>
        <v>0</v>
      </c>
      <c r="AC15" s="85"/>
      <c r="AD15" s="169">
        <v>14691.779999999992</v>
      </c>
      <c r="AE15" s="100">
        <f t="shared" si="13"/>
        <v>77309.229999999981</v>
      </c>
      <c r="AF15" s="101"/>
      <c r="AG15" s="101"/>
      <c r="AH15" s="101"/>
      <c r="AI15" s="205"/>
      <c r="AJ15" s="205"/>
      <c r="AK15" s="205"/>
      <c r="AL15" s="102">
        <f t="shared" si="9"/>
        <v>77309.229999999981</v>
      </c>
      <c r="AM15" s="275"/>
      <c r="AN15" s="275">
        <f t="shared" ref="AN15:AN18" si="23">+AL15*0.175+AL15*100/G15*0.03</f>
        <v>17097.233557692303</v>
      </c>
      <c r="AO15" s="435">
        <f t="shared" si="15"/>
        <v>60212</v>
      </c>
      <c r="AP15" s="349"/>
      <c r="AQ15" s="349"/>
    </row>
    <row r="16" spans="1:43" s="350" customFormat="1" ht="19.5" customHeight="1" x14ac:dyDescent="0.2">
      <c r="A16" s="165">
        <f t="shared" si="10"/>
        <v>8</v>
      </c>
      <c r="B16" s="201">
        <v>20322222719</v>
      </c>
      <c r="C16" s="202">
        <v>11</v>
      </c>
      <c r="D16" s="163" t="s">
        <v>157</v>
      </c>
      <c r="E16" s="203">
        <v>44710</v>
      </c>
      <c r="F16" s="83" t="s">
        <v>130</v>
      </c>
      <c r="G16" s="342">
        <f>+'1º QUINCENA'!G16</f>
        <v>65</v>
      </c>
      <c r="H16" s="166" t="str">
        <f>+'1º QUINCENA'!H16</f>
        <v>PEON PRACTICO PROD</v>
      </c>
      <c r="I16" s="192">
        <f>+'1º QUINCENA'!I16</f>
        <v>701.86</v>
      </c>
      <c r="J16" s="84">
        <f>+$N$2+5</f>
        <v>63</v>
      </c>
      <c r="K16" s="84">
        <f t="shared" si="22"/>
        <v>10</v>
      </c>
      <c r="L16" s="168"/>
      <c r="M16" s="168">
        <v>2</v>
      </c>
      <c r="N16" s="168">
        <v>-5</v>
      </c>
      <c r="O16" s="168"/>
      <c r="P16" s="168"/>
      <c r="Q16" s="193">
        <f t="shared" si="0"/>
        <v>70</v>
      </c>
      <c r="R16" s="204">
        <f t="shared" si="1"/>
        <v>0</v>
      </c>
      <c r="S16" s="169">
        <f t="shared" si="17"/>
        <v>44217.18</v>
      </c>
      <c r="T16" s="169">
        <f t="shared" si="18"/>
        <v>7018.6</v>
      </c>
      <c r="U16" s="169"/>
      <c r="V16" s="169">
        <f t="shared" si="19"/>
        <v>0</v>
      </c>
      <c r="W16" s="169">
        <f t="shared" si="12"/>
        <v>2807.44</v>
      </c>
      <c r="X16" s="169">
        <f t="shared" si="20"/>
        <v>0</v>
      </c>
      <c r="Y16" s="169">
        <f>+N16*(1)*I16</f>
        <v>-3509.3</v>
      </c>
      <c r="Z16" s="169">
        <f t="shared" si="16"/>
        <v>0</v>
      </c>
      <c r="AA16" s="169"/>
      <c r="AB16" s="169">
        <f t="shared" si="8"/>
        <v>0</v>
      </c>
      <c r="AC16" s="85"/>
      <c r="AD16" s="169">
        <v>13672.100000000006</v>
      </c>
      <c r="AE16" s="100">
        <f t="shared" si="13"/>
        <v>64206.020000000004</v>
      </c>
      <c r="AF16" s="101"/>
      <c r="AG16" s="101"/>
      <c r="AH16" s="101"/>
      <c r="AI16" s="205"/>
      <c r="AJ16" s="205"/>
      <c r="AK16" s="205"/>
      <c r="AL16" s="102">
        <f t="shared" si="9"/>
        <v>64206.020000000004</v>
      </c>
      <c r="AM16" s="275"/>
      <c r="AN16" s="275">
        <f t="shared" si="23"/>
        <v>14199.408269230769</v>
      </c>
      <c r="AO16" s="435">
        <f t="shared" si="15"/>
        <v>50007</v>
      </c>
      <c r="AP16" s="349"/>
      <c r="AQ16" s="349"/>
    </row>
    <row r="17" spans="1:43" s="350" customFormat="1" ht="19.5" customHeight="1" x14ac:dyDescent="0.2">
      <c r="A17" s="165">
        <f t="shared" si="10"/>
        <v>9</v>
      </c>
      <c r="B17" s="201">
        <v>20425599829</v>
      </c>
      <c r="C17" s="202">
        <v>12</v>
      </c>
      <c r="D17" s="163" t="s">
        <v>158</v>
      </c>
      <c r="E17" s="203">
        <v>44710</v>
      </c>
      <c r="F17" s="83" t="s">
        <v>130</v>
      </c>
      <c r="G17" s="342">
        <f>+'1º QUINCENA'!G17</f>
        <v>65</v>
      </c>
      <c r="H17" s="166" t="str">
        <f>+'1º QUINCENA'!H17</f>
        <v>CALIF PROD</v>
      </c>
      <c r="I17" s="192">
        <f>+'1º QUINCENA'!I17</f>
        <v>773.8</v>
      </c>
      <c r="J17" s="84">
        <f>+$N$2+5</f>
        <v>63</v>
      </c>
      <c r="K17" s="84">
        <f t="shared" si="22"/>
        <v>10</v>
      </c>
      <c r="L17" s="168"/>
      <c r="M17" s="168">
        <v>2</v>
      </c>
      <c r="N17" s="168"/>
      <c r="O17" s="168"/>
      <c r="P17" s="168"/>
      <c r="Q17" s="193">
        <f t="shared" si="0"/>
        <v>75</v>
      </c>
      <c r="R17" s="204">
        <f t="shared" si="1"/>
        <v>0</v>
      </c>
      <c r="S17" s="169">
        <f t="shared" si="17"/>
        <v>48749.399999999994</v>
      </c>
      <c r="T17" s="169">
        <f t="shared" si="18"/>
        <v>7738</v>
      </c>
      <c r="U17" s="169"/>
      <c r="V17" s="169">
        <f t="shared" si="19"/>
        <v>0</v>
      </c>
      <c r="W17" s="169">
        <f t="shared" si="12"/>
        <v>3095.2</v>
      </c>
      <c r="X17" s="169">
        <f t="shared" si="20"/>
        <v>0</v>
      </c>
      <c r="Y17" s="169">
        <f>+N17*(1)*I17</f>
        <v>0</v>
      </c>
      <c r="Z17" s="169">
        <f t="shared" si="16"/>
        <v>3034.85</v>
      </c>
      <c r="AA17" s="169"/>
      <c r="AB17" s="169">
        <f t="shared" si="8"/>
        <v>0</v>
      </c>
      <c r="AC17" s="85"/>
      <c r="AD17" s="169">
        <v>14474.029999999992</v>
      </c>
      <c r="AE17" s="100">
        <f t="shared" si="13"/>
        <v>77091.479999999981</v>
      </c>
      <c r="AF17" s="101"/>
      <c r="AG17" s="101"/>
      <c r="AH17" s="101"/>
      <c r="AI17" s="205"/>
      <c r="AJ17" s="205"/>
      <c r="AK17" s="205"/>
      <c r="AL17" s="102">
        <f t="shared" si="9"/>
        <v>77091.479999999981</v>
      </c>
      <c r="AM17" s="275"/>
      <c r="AN17" s="275">
        <f t="shared" si="23"/>
        <v>17049.077307692303</v>
      </c>
      <c r="AO17" s="435">
        <f t="shared" si="15"/>
        <v>60043</v>
      </c>
      <c r="AP17" s="349"/>
      <c r="AQ17" s="349"/>
    </row>
    <row r="18" spans="1:43" s="350" customFormat="1" ht="19.5" customHeight="1" x14ac:dyDescent="0.2">
      <c r="A18" s="165">
        <f t="shared" si="10"/>
        <v>10</v>
      </c>
      <c r="B18" s="201">
        <v>20418603136</v>
      </c>
      <c r="C18" s="202">
        <v>13</v>
      </c>
      <c r="D18" s="163" t="s">
        <v>159</v>
      </c>
      <c r="E18" s="203">
        <v>44710</v>
      </c>
      <c r="F18" s="83" t="s">
        <v>130</v>
      </c>
      <c r="G18" s="342">
        <f>+'1º QUINCENA'!G18</f>
        <v>65</v>
      </c>
      <c r="H18" s="166" t="str">
        <f>+'1º QUINCENA'!H18</f>
        <v>CALIF PROD</v>
      </c>
      <c r="I18" s="192">
        <f>+'1º QUINCENA'!I18</f>
        <v>773.8</v>
      </c>
      <c r="J18" s="84">
        <f>+$N$2+5</f>
        <v>63</v>
      </c>
      <c r="K18" s="84">
        <f t="shared" si="22"/>
        <v>10</v>
      </c>
      <c r="L18" s="168"/>
      <c r="M18" s="168">
        <v>2</v>
      </c>
      <c r="N18" s="168"/>
      <c r="O18" s="168"/>
      <c r="P18" s="168"/>
      <c r="Q18" s="193">
        <f t="shared" si="0"/>
        <v>75</v>
      </c>
      <c r="R18" s="204">
        <f t="shared" si="1"/>
        <v>0</v>
      </c>
      <c r="S18" s="169">
        <f t="shared" si="17"/>
        <v>48749.399999999994</v>
      </c>
      <c r="T18" s="169">
        <f t="shared" si="18"/>
        <v>7738</v>
      </c>
      <c r="U18" s="169"/>
      <c r="V18" s="169">
        <f t="shared" si="19"/>
        <v>0</v>
      </c>
      <c r="W18" s="169">
        <f t="shared" si="12"/>
        <v>3095.2</v>
      </c>
      <c r="X18" s="169">
        <f t="shared" si="20"/>
        <v>0</v>
      </c>
      <c r="Y18" s="169">
        <f t="shared" si="21"/>
        <v>0</v>
      </c>
      <c r="Z18" s="169">
        <f t="shared" si="16"/>
        <v>3034.85</v>
      </c>
      <c r="AA18" s="169"/>
      <c r="AB18" s="169">
        <f t="shared" si="8"/>
        <v>0</v>
      </c>
      <c r="AC18" s="85"/>
      <c r="AD18" s="169">
        <v>14865.329999999994</v>
      </c>
      <c r="AE18" s="100">
        <f t="shared" si="13"/>
        <v>77482.779999999984</v>
      </c>
      <c r="AF18" s="101"/>
      <c r="AG18" s="101"/>
      <c r="AH18" s="101"/>
      <c r="AI18" s="205"/>
      <c r="AJ18" s="205"/>
      <c r="AK18" s="205"/>
      <c r="AL18" s="102">
        <f t="shared" si="9"/>
        <v>77482.779999999984</v>
      </c>
      <c r="AM18" s="275"/>
      <c r="AN18" s="275">
        <f t="shared" si="23"/>
        <v>17135.614807692305</v>
      </c>
      <c r="AO18" s="190">
        <f t="shared" si="15"/>
        <v>60348</v>
      </c>
      <c r="AP18" s="349"/>
      <c r="AQ18" s="349"/>
    </row>
    <row r="19" spans="1:43" s="350" customFormat="1" ht="19.5" customHeight="1" x14ac:dyDescent="0.2">
      <c r="A19" s="165">
        <f t="shared" si="10"/>
        <v>11</v>
      </c>
      <c r="B19" s="201">
        <v>20320535248</v>
      </c>
      <c r="C19" s="202">
        <v>14</v>
      </c>
      <c r="D19" s="365" t="s">
        <v>160</v>
      </c>
      <c r="E19" s="203">
        <v>44710</v>
      </c>
      <c r="F19" s="83" t="s">
        <v>130</v>
      </c>
      <c r="G19" s="343">
        <f>+'1º QUINCENA'!G19</f>
        <v>100</v>
      </c>
      <c r="H19" s="166" t="str">
        <f>+'1º QUINCENA'!H19</f>
        <v>CALIF PROD</v>
      </c>
      <c r="I19" s="192">
        <f>+'1º QUINCENA'!I19</f>
        <v>773.8</v>
      </c>
      <c r="J19" s="84">
        <f>+$M$2+8</f>
        <v>96</v>
      </c>
      <c r="K19" s="84">
        <f>+$M$3</f>
        <v>16</v>
      </c>
      <c r="L19" s="168"/>
      <c r="M19" s="168">
        <v>1</v>
      </c>
      <c r="N19" s="168"/>
      <c r="O19" s="168"/>
      <c r="P19" s="168"/>
      <c r="Q19" s="193">
        <f t="shared" si="0"/>
        <v>113</v>
      </c>
      <c r="R19" s="204">
        <f t="shared" si="1"/>
        <v>0</v>
      </c>
      <c r="S19" s="169">
        <f t="shared" si="17"/>
        <v>74284.799999999988</v>
      </c>
      <c r="T19" s="169">
        <f t="shared" si="18"/>
        <v>12380.8</v>
      </c>
      <c r="U19" s="169"/>
      <c r="V19" s="169">
        <f t="shared" si="19"/>
        <v>0</v>
      </c>
      <c r="W19" s="169">
        <f>+I19*M19*2</f>
        <v>1547.6</v>
      </c>
      <c r="X19" s="169">
        <f t="shared" si="20"/>
        <v>0</v>
      </c>
      <c r="Y19" s="169">
        <f t="shared" si="21"/>
        <v>0</v>
      </c>
      <c r="Z19" s="169">
        <f t="shared" si="16"/>
        <v>4669</v>
      </c>
      <c r="AA19" s="169"/>
      <c r="AB19" s="169">
        <f t="shared" si="8"/>
        <v>0</v>
      </c>
      <c r="AC19" s="85"/>
      <c r="AD19" s="169">
        <v>21537.42000000002</v>
      </c>
      <c r="AE19" s="100">
        <f t="shared" si="13"/>
        <v>114419.62000000002</v>
      </c>
      <c r="AF19" s="101"/>
      <c r="AG19" s="101"/>
      <c r="AH19" s="101"/>
      <c r="AI19" s="205"/>
      <c r="AJ19" s="205"/>
      <c r="AK19" s="205"/>
      <c r="AL19" s="102">
        <f t="shared" si="9"/>
        <v>114419.62000000002</v>
      </c>
      <c r="AM19" s="275"/>
      <c r="AN19" s="366">
        <f>+AL19*0.175+AL19/G19*100*0.03</f>
        <v>23456.022100000002</v>
      </c>
      <c r="AO19" s="190">
        <f t="shared" si="15"/>
        <v>90964</v>
      </c>
      <c r="AP19" s="349"/>
      <c r="AQ19" s="349"/>
    </row>
    <row r="20" spans="1:43" s="350" customFormat="1" ht="19.5" customHeight="1" x14ac:dyDescent="0.2">
      <c r="A20" s="165">
        <f t="shared" si="10"/>
        <v>12</v>
      </c>
      <c r="B20" s="201">
        <v>20403630382</v>
      </c>
      <c r="C20" s="202">
        <v>15</v>
      </c>
      <c r="D20" s="163" t="s">
        <v>161</v>
      </c>
      <c r="E20" s="203">
        <v>44710</v>
      </c>
      <c r="F20" s="83" t="s">
        <v>130</v>
      </c>
      <c r="G20" s="342">
        <f>+'1º QUINCENA'!G20</f>
        <v>65</v>
      </c>
      <c r="H20" s="166" t="str">
        <f>+'1º QUINCENA'!H20</f>
        <v>PEON PRACTICO PROD</v>
      </c>
      <c r="I20" s="192">
        <f>+'1º QUINCENA'!I20</f>
        <v>701.86</v>
      </c>
      <c r="J20" s="84">
        <f>+$N$2+5</f>
        <v>63</v>
      </c>
      <c r="K20" s="84">
        <f t="shared" ref="K20:K24" si="24">+$N$3</f>
        <v>10</v>
      </c>
      <c r="L20" s="168"/>
      <c r="M20" s="168">
        <v>2</v>
      </c>
      <c r="N20" s="168"/>
      <c r="O20" s="168"/>
      <c r="P20" s="168"/>
      <c r="Q20" s="193">
        <f t="shared" si="0"/>
        <v>75</v>
      </c>
      <c r="R20" s="204">
        <f t="shared" si="1"/>
        <v>0</v>
      </c>
      <c r="S20" s="169">
        <f t="shared" si="17"/>
        <v>44217.18</v>
      </c>
      <c r="T20" s="169">
        <f t="shared" si="18"/>
        <v>7018.6</v>
      </c>
      <c r="U20" s="169"/>
      <c r="V20" s="169">
        <f t="shared" si="19"/>
        <v>0</v>
      </c>
      <c r="W20" s="169">
        <f t="shared" si="12"/>
        <v>2807.44</v>
      </c>
      <c r="X20" s="169">
        <f t="shared" si="20"/>
        <v>0</v>
      </c>
      <c r="Y20" s="169">
        <f>+N20*(1)*I20</f>
        <v>0</v>
      </c>
      <c r="Z20" s="169">
        <f t="shared" si="16"/>
        <v>3034.85</v>
      </c>
      <c r="AA20" s="169"/>
      <c r="AB20" s="169">
        <f t="shared" si="8"/>
        <v>0</v>
      </c>
      <c r="AC20" s="85"/>
      <c r="AD20" s="169">
        <v>16273.400000000009</v>
      </c>
      <c r="AE20" s="100">
        <f>SUM(S20:AD20)+AJ20</f>
        <v>73351.47</v>
      </c>
      <c r="AF20" s="101"/>
      <c r="AG20" s="101"/>
      <c r="AH20" s="101"/>
      <c r="AI20" s="205"/>
      <c r="AJ20" s="205"/>
      <c r="AK20" s="205"/>
      <c r="AL20" s="102">
        <f t="shared" si="9"/>
        <v>73351.47</v>
      </c>
      <c r="AM20" s="275"/>
      <c r="AN20" s="275">
        <f t="shared" ref="AN20:AN25" si="25">+AL20*0.175+AL20*100/G20*0.03</f>
        <v>16221.95971153846</v>
      </c>
      <c r="AO20" s="190">
        <f t="shared" si="15"/>
        <v>57130</v>
      </c>
      <c r="AP20" s="349"/>
      <c r="AQ20" s="364"/>
    </row>
    <row r="21" spans="1:43" s="350" customFormat="1" ht="19.5" customHeight="1" x14ac:dyDescent="0.2">
      <c r="A21" s="165">
        <f t="shared" si="10"/>
        <v>13</v>
      </c>
      <c r="B21" s="201">
        <v>20410868874</v>
      </c>
      <c r="C21" s="202">
        <v>16</v>
      </c>
      <c r="D21" s="163" t="s">
        <v>162</v>
      </c>
      <c r="E21" s="203">
        <v>44710</v>
      </c>
      <c r="F21" s="83" t="s">
        <v>130</v>
      </c>
      <c r="G21" s="342">
        <f>+'1º QUINCENA'!G21</f>
        <v>65</v>
      </c>
      <c r="H21" s="166" t="str">
        <f>+'1º QUINCENA'!H21</f>
        <v>PEON PRACTICO PROD</v>
      </c>
      <c r="I21" s="192">
        <f>+'1º QUINCENA'!I21</f>
        <v>701.86</v>
      </c>
      <c r="J21" s="84">
        <f>+$N$2+5</f>
        <v>63</v>
      </c>
      <c r="K21" s="84">
        <f t="shared" si="24"/>
        <v>10</v>
      </c>
      <c r="L21" s="168"/>
      <c r="M21" s="168">
        <v>2</v>
      </c>
      <c r="N21" s="168"/>
      <c r="O21" s="168"/>
      <c r="P21" s="168"/>
      <c r="Q21" s="193">
        <f t="shared" si="0"/>
        <v>75</v>
      </c>
      <c r="R21" s="204">
        <f t="shared" si="1"/>
        <v>0</v>
      </c>
      <c r="S21" s="169">
        <f t="shared" si="17"/>
        <v>44217.18</v>
      </c>
      <c r="T21" s="169">
        <f t="shared" si="18"/>
        <v>7018.6</v>
      </c>
      <c r="U21" s="169"/>
      <c r="V21" s="169">
        <f t="shared" si="19"/>
        <v>0</v>
      </c>
      <c r="W21" s="169">
        <f t="shared" si="12"/>
        <v>2807.44</v>
      </c>
      <c r="X21" s="169">
        <f t="shared" si="20"/>
        <v>0</v>
      </c>
      <c r="Y21" s="169">
        <f t="shared" si="21"/>
        <v>0</v>
      </c>
      <c r="Z21" s="169">
        <f t="shared" si="16"/>
        <v>3034.85</v>
      </c>
      <c r="AA21" s="169"/>
      <c r="AB21" s="169">
        <f t="shared" si="8"/>
        <v>0</v>
      </c>
      <c r="AC21" s="85"/>
      <c r="AD21" s="169">
        <v>13464.75</v>
      </c>
      <c r="AE21" s="100">
        <f t="shared" si="13"/>
        <v>70542.820000000007</v>
      </c>
      <c r="AF21" s="101"/>
      <c r="AG21" s="101"/>
      <c r="AH21" s="101"/>
      <c r="AI21" s="205"/>
      <c r="AJ21" s="205"/>
      <c r="AK21" s="205"/>
      <c r="AL21" s="102">
        <f t="shared" si="9"/>
        <v>70542.820000000007</v>
      </c>
      <c r="AM21" s="275"/>
      <c r="AN21" s="275">
        <f t="shared" si="25"/>
        <v>15600.815961538461</v>
      </c>
      <c r="AO21" s="190">
        <f t="shared" si="15"/>
        <v>54943</v>
      </c>
      <c r="AP21" s="349"/>
      <c r="AQ21" s="349"/>
    </row>
    <row r="22" spans="1:43" s="350" customFormat="1" ht="19.5" customHeight="1" x14ac:dyDescent="0.2">
      <c r="A22" s="165">
        <f t="shared" si="10"/>
        <v>14</v>
      </c>
      <c r="B22" s="201">
        <v>23401204679</v>
      </c>
      <c r="C22" s="202">
        <v>17</v>
      </c>
      <c r="D22" s="163" t="s">
        <v>163</v>
      </c>
      <c r="E22" s="203">
        <v>44710</v>
      </c>
      <c r="F22" s="83" t="s">
        <v>130</v>
      </c>
      <c r="G22" s="342">
        <f>+'1º QUINCENA'!G22</f>
        <v>65</v>
      </c>
      <c r="H22" s="166" t="str">
        <f>+'1º QUINCENA'!H22</f>
        <v>PEON PRACTICO PROD</v>
      </c>
      <c r="I22" s="192">
        <f>+'1º QUINCENA'!I22</f>
        <v>701.86</v>
      </c>
      <c r="J22" s="84">
        <f>+$N$2+5</f>
        <v>63</v>
      </c>
      <c r="K22" s="84">
        <f t="shared" si="24"/>
        <v>10</v>
      </c>
      <c r="L22" s="168"/>
      <c r="M22" s="168">
        <v>2</v>
      </c>
      <c r="N22" s="168"/>
      <c r="O22" s="168"/>
      <c r="P22" s="168"/>
      <c r="Q22" s="193">
        <f t="shared" si="0"/>
        <v>75</v>
      </c>
      <c r="R22" s="204">
        <f t="shared" si="1"/>
        <v>0</v>
      </c>
      <c r="S22" s="169">
        <f t="shared" si="17"/>
        <v>44217.18</v>
      </c>
      <c r="T22" s="169">
        <f t="shared" si="18"/>
        <v>7018.6</v>
      </c>
      <c r="U22" s="169"/>
      <c r="V22" s="169">
        <f t="shared" si="19"/>
        <v>0</v>
      </c>
      <c r="W22" s="169">
        <f t="shared" si="12"/>
        <v>2807.44</v>
      </c>
      <c r="X22" s="169">
        <f t="shared" si="20"/>
        <v>0</v>
      </c>
      <c r="Y22" s="169">
        <f t="shared" si="21"/>
        <v>0</v>
      </c>
      <c r="Z22" s="169">
        <f>IF(N22&lt;0,0,$Z$6*G22/100)*1</f>
        <v>3034.85</v>
      </c>
      <c r="AA22" s="169"/>
      <c r="AB22" s="169">
        <f t="shared" si="8"/>
        <v>0</v>
      </c>
      <c r="AC22" s="85"/>
      <c r="AD22" s="169">
        <v>10254.450000000004</v>
      </c>
      <c r="AE22" s="100">
        <f t="shared" si="13"/>
        <v>67332.52</v>
      </c>
      <c r="AF22" s="101"/>
      <c r="AG22" s="101"/>
      <c r="AH22" s="101"/>
      <c r="AI22" s="205"/>
      <c r="AJ22" s="205"/>
      <c r="AK22" s="205"/>
      <c r="AL22" s="102">
        <f t="shared" si="9"/>
        <v>67332.52</v>
      </c>
      <c r="AM22" s="275"/>
      <c r="AN22" s="275">
        <f t="shared" si="25"/>
        <v>14890.845769230769</v>
      </c>
      <c r="AO22" s="190">
        <f t="shared" si="15"/>
        <v>52442</v>
      </c>
      <c r="AP22" s="349"/>
      <c r="AQ22" s="349"/>
    </row>
    <row r="23" spans="1:43" s="350" customFormat="1" ht="19.5" customHeight="1" x14ac:dyDescent="0.2">
      <c r="A23" s="165">
        <f t="shared" si="10"/>
        <v>15</v>
      </c>
      <c r="B23" s="201">
        <v>20438407325</v>
      </c>
      <c r="C23" s="202">
        <v>18</v>
      </c>
      <c r="D23" s="163" t="s">
        <v>164</v>
      </c>
      <c r="E23" s="203">
        <v>44710</v>
      </c>
      <c r="F23" s="83" t="s">
        <v>130</v>
      </c>
      <c r="G23" s="342">
        <f>+'1º QUINCENA'!G23</f>
        <v>65</v>
      </c>
      <c r="H23" s="166" t="str">
        <f>+'1º QUINCENA'!H23</f>
        <v>SEMI CALIF PROD</v>
      </c>
      <c r="I23" s="192">
        <f>+'1º QUINCENA'!I23</f>
        <v>736.96</v>
      </c>
      <c r="J23" s="84">
        <f>+$N$2+5</f>
        <v>63</v>
      </c>
      <c r="K23" s="84">
        <f t="shared" si="24"/>
        <v>10</v>
      </c>
      <c r="L23" s="168"/>
      <c r="M23" s="168">
        <v>2</v>
      </c>
      <c r="N23" s="168"/>
      <c r="O23" s="168"/>
      <c r="P23" s="168"/>
      <c r="Q23" s="193">
        <f t="shared" si="0"/>
        <v>75</v>
      </c>
      <c r="R23" s="204">
        <f t="shared" si="1"/>
        <v>0</v>
      </c>
      <c r="S23" s="169">
        <f t="shared" si="17"/>
        <v>46428.480000000003</v>
      </c>
      <c r="T23" s="169">
        <f t="shared" si="18"/>
        <v>7369.6</v>
      </c>
      <c r="U23" s="169"/>
      <c r="V23" s="169">
        <f t="shared" si="19"/>
        <v>0</v>
      </c>
      <c r="W23" s="169">
        <f t="shared" si="12"/>
        <v>2947.84</v>
      </c>
      <c r="X23" s="169">
        <f t="shared" si="20"/>
        <v>0</v>
      </c>
      <c r="Y23" s="169">
        <f>+N23*(1)*I23</f>
        <v>0</v>
      </c>
      <c r="Z23" s="169">
        <f>IF(N23&lt;0,0,$Z$6*G23/100)*1</f>
        <v>3034.85</v>
      </c>
      <c r="AA23" s="169"/>
      <c r="AB23" s="169">
        <f t="shared" si="8"/>
        <v>0</v>
      </c>
      <c r="AC23" s="85"/>
      <c r="AD23" s="169">
        <v>14417.73000000001</v>
      </c>
      <c r="AE23" s="100">
        <f>SUM(S23:AD23)+AJ23</f>
        <v>74198.5</v>
      </c>
      <c r="AF23" s="101"/>
      <c r="AG23" s="101"/>
      <c r="AH23" s="101"/>
      <c r="AI23" s="205"/>
      <c r="AJ23" s="205"/>
      <c r="AK23" s="205"/>
      <c r="AL23" s="102">
        <f t="shared" si="9"/>
        <v>74198.5</v>
      </c>
      <c r="AM23" s="275"/>
      <c r="AN23" s="275">
        <f t="shared" si="25"/>
        <v>16409.283653846152</v>
      </c>
      <c r="AO23" s="190">
        <f t="shared" si="15"/>
        <v>57790</v>
      </c>
      <c r="AP23" s="349">
        <f>+AO23+'1º QUINCENA'!AO23</f>
        <v>99185</v>
      </c>
      <c r="AQ23" s="349"/>
    </row>
    <row r="24" spans="1:43" s="350" customFormat="1" ht="19.5" customHeight="1" x14ac:dyDescent="0.2">
      <c r="A24" s="165">
        <f t="shared" si="10"/>
        <v>16</v>
      </c>
      <c r="B24" s="201">
        <v>23429243939</v>
      </c>
      <c r="C24" s="202">
        <v>19</v>
      </c>
      <c r="D24" s="163" t="s">
        <v>166</v>
      </c>
      <c r="E24" s="203">
        <v>44710</v>
      </c>
      <c r="F24" s="83" t="s">
        <v>130</v>
      </c>
      <c r="G24" s="342">
        <f>+'1º QUINCENA'!G24</f>
        <v>65</v>
      </c>
      <c r="H24" s="166" t="str">
        <f>+'1º QUINCENA'!H24</f>
        <v>SEMI CALIF PROD</v>
      </c>
      <c r="I24" s="192">
        <f>+'1º QUINCENA'!I24</f>
        <v>736.96</v>
      </c>
      <c r="J24" s="84">
        <f>+$N$2+5</f>
        <v>63</v>
      </c>
      <c r="K24" s="84">
        <f t="shared" si="24"/>
        <v>10</v>
      </c>
      <c r="L24" s="168"/>
      <c r="M24" s="168">
        <v>2</v>
      </c>
      <c r="N24" s="168"/>
      <c r="O24" s="168"/>
      <c r="P24" s="168"/>
      <c r="Q24" s="193">
        <f t="shared" si="0"/>
        <v>75</v>
      </c>
      <c r="R24" s="204">
        <f t="shared" si="1"/>
        <v>0</v>
      </c>
      <c r="S24" s="169">
        <f t="shared" si="17"/>
        <v>46428.480000000003</v>
      </c>
      <c r="T24" s="169">
        <f t="shared" si="18"/>
        <v>7369.6</v>
      </c>
      <c r="U24" s="169"/>
      <c r="V24" s="169">
        <f t="shared" si="19"/>
        <v>0</v>
      </c>
      <c r="W24" s="169">
        <f t="shared" si="12"/>
        <v>2947.84</v>
      </c>
      <c r="X24" s="169">
        <f t="shared" si="20"/>
        <v>0</v>
      </c>
      <c r="Y24" s="169">
        <f>+N24*I24</f>
        <v>0</v>
      </c>
      <c r="Z24" s="169">
        <f>IF(N24&lt;0,0,$Z$6*G24/100)*1</f>
        <v>3034.85</v>
      </c>
      <c r="AA24" s="169"/>
      <c r="AB24" s="169">
        <f t="shared" si="8"/>
        <v>0</v>
      </c>
      <c r="AC24" s="85"/>
      <c r="AD24" s="169">
        <v>14048.580000000016</v>
      </c>
      <c r="AE24" s="100">
        <f t="shared" si="13"/>
        <v>73829.350000000006</v>
      </c>
      <c r="AF24" s="101"/>
      <c r="AG24" s="101"/>
      <c r="AH24" s="101"/>
      <c r="AI24" s="205"/>
      <c r="AJ24" s="205"/>
      <c r="AK24" s="205"/>
      <c r="AL24" s="102">
        <f t="shared" si="9"/>
        <v>73829.350000000006</v>
      </c>
      <c r="AM24" s="275"/>
      <c r="AN24" s="275">
        <f t="shared" si="25"/>
        <v>16327.644711538462</v>
      </c>
      <c r="AO24" s="190">
        <f t="shared" si="15"/>
        <v>57502</v>
      </c>
      <c r="AP24" s="349"/>
      <c r="AQ24" s="349"/>
    </row>
    <row r="25" spans="1:43" s="350" customFormat="1" ht="19.5" customHeight="1" x14ac:dyDescent="0.2">
      <c r="A25" s="165">
        <f t="shared" si="10"/>
        <v>17</v>
      </c>
      <c r="B25" s="201">
        <v>20372389584</v>
      </c>
      <c r="C25" s="202">
        <v>20</v>
      </c>
      <c r="D25" s="365" t="s">
        <v>167</v>
      </c>
      <c r="E25" s="203">
        <v>44710</v>
      </c>
      <c r="F25" s="83" t="s">
        <v>130</v>
      </c>
      <c r="G25" s="343">
        <f>+'1º QUINCENA'!G25</f>
        <v>100</v>
      </c>
      <c r="H25" s="166" t="str">
        <f>+'1º QUINCENA'!H25</f>
        <v>CALIF PROD</v>
      </c>
      <c r="I25" s="192">
        <f>+'1º QUINCENA'!I25</f>
        <v>773.8</v>
      </c>
      <c r="J25" s="84">
        <f>+$M$2+7</f>
        <v>95</v>
      </c>
      <c r="K25" s="84">
        <f>+$M$3</f>
        <v>16</v>
      </c>
      <c r="L25" s="168"/>
      <c r="M25" s="168"/>
      <c r="N25" s="168"/>
      <c r="O25" s="168"/>
      <c r="P25" s="168"/>
      <c r="Q25" s="193">
        <f t="shared" si="0"/>
        <v>111</v>
      </c>
      <c r="R25" s="204">
        <f t="shared" si="1"/>
        <v>0</v>
      </c>
      <c r="S25" s="169">
        <f t="shared" si="17"/>
        <v>73511</v>
      </c>
      <c r="T25" s="169">
        <f t="shared" si="18"/>
        <v>12380.8</v>
      </c>
      <c r="U25" s="321">
        <f>NETOS!O6/2/(AQ25/100)</f>
        <v>5169.8899371069183</v>
      </c>
      <c r="V25" s="169">
        <f t="shared" si="19"/>
        <v>0</v>
      </c>
      <c r="W25" s="169">
        <f t="shared" si="12"/>
        <v>0</v>
      </c>
      <c r="X25" s="169">
        <f t="shared" si="20"/>
        <v>0</v>
      </c>
      <c r="Y25" s="169">
        <f t="shared" si="21"/>
        <v>0</v>
      </c>
      <c r="Z25" s="169">
        <f t="shared" si="16"/>
        <v>4669</v>
      </c>
      <c r="AA25" s="169"/>
      <c r="AB25" s="169">
        <f t="shared" si="8"/>
        <v>0</v>
      </c>
      <c r="AC25" s="85"/>
      <c r="AD25" s="169">
        <v>28450.992012578645</v>
      </c>
      <c r="AE25" s="100">
        <f t="shared" si="13"/>
        <v>124181.68194968556</v>
      </c>
      <c r="AF25" s="101"/>
      <c r="AG25" s="101"/>
      <c r="AH25" s="101"/>
      <c r="AI25" s="205"/>
      <c r="AJ25" s="205"/>
      <c r="AK25" s="205"/>
      <c r="AL25" s="102">
        <f t="shared" si="9"/>
        <v>124181.68194968556</v>
      </c>
      <c r="AM25" s="275"/>
      <c r="AN25" s="275">
        <f t="shared" si="25"/>
        <v>25457.244799685537</v>
      </c>
      <c r="AO25" s="190">
        <f t="shared" si="15"/>
        <v>98725</v>
      </c>
      <c r="AP25" s="367">
        <f>+AO25-AO18</f>
        <v>38377</v>
      </c>
      <c r="AQ25" s="349">
        <f>100-(11+3+3.5+(3*100/G25))</f>
        <v>79.5</v>
      </c>
    </row>
    <row r="26" spans="1:43" s="350" customFormat="1" ht="19.5" customHeight="1" x14ac:dyDescent="0.2">
      <c r="A26" s="165"/>
      <c r="B26" s="201" t="s">
        <v>218</v>
      </c>
      <c r="C26" s="202">
        <v>24</v>
      </c>
      <c r="D26" s="163" t="s">
        <v>219</v>
      </c>
      <c r="E26" s="203">
        <v>44815</v>
      </c>
      <c r="F26" s="83" t="s">
        <v>130</v>
      </c>
      <c r="G26" s="342">
        <v>65</v>
      </c>
      <c r="H26" s="166" t="str">
        <f>+'1º QUINCENA'!H26</f>
        <v>OP INICIAL PROD</v>
      </c>
      <c r="I26" s="192">
        <f>+'1º QUINCENA'!I26</f>
        <v>668.44</v>
      </c>
      <c r="J26" s="84">
        <f>+$N$2+5</f>
        <v>63</v>
      </c>
      <c r="K26" s="84">
        <f t="shared" ref="K26:K28" si="26">+$N$3</f>
        <v>10</v>
      </c>
      <c r="L26" s="168"/>
      <c r="M26" s="168">
        <v>2</v>
      </c>
      <c r="N26" s="168"/>
      <c r="O26" s="168"/>
      <c r="P26" s="168"/>
      <c r="Q26" s="193">
        <f>SUM(J26:O26)</f>
        <v>75</v>
      </c>
      <c r="R26" s="204">
        <f t="shared" si="1"/>
        <v>0</v>
      </c>
      <c r="S26" s="169">
        <f>+J26*I26</f>
        <v>42111.72</v>
      </c>
      <c r="T26" s="169">
        <f t="shared" ref="T26:T27" si="27">+K26*I26</f>
        <v>6684.4000000000005</v>
      </c>
      <c r="U26" s="169"/>
      <c r="V26" s="169">
        <f t="shared" ref="V26" si="28">+L26*I26</f>
        <v>0</v>
      </c>
      <c r="W26" s="169">
        <f t="shared" ref="W26" si="29">+I26*M26*2</f>
        <v>2673.76</v>
      </c>
      <c r="X26" s="169">
        <f t="shared" ref="X26" si="30">+O26*I26</f>
        <v>0</v>
      </c>
      <c r="Y26" s="169">
        <f t="shared" ref="Y26" si="31">+N26*(-1)*I26</f>
        <v>0</v>
      </c>
      <c r="Z26" s="169">
        <f>IF(N26&lt;0,0,$Z$6*G26/100)</f>
        <v>3034.85</v>
      </c>
      <c r="AA26" s="169"/>
      <c r="AB26" s="169">
        <f t="shared" si="8"/>
        <v>0</v>
      </c>
      <c r="AC26" s="85"/>
      <c r="AD26" s="169">
        <v>13541.430000000008</v>
      </c>
      <c r="AE26" s="100">
        <f t="shared" si="13"/>
        <v>68046.16</v>
      </c>
      <c r="AF26" s="101"/>
      <c r="AG26" s="101"/>
      <c r="AH26" s="101"/>
      <c r="AI26" s="205"/>
      <c r="AJ26" s="205"/>
      <c r="AK26" s="205"/>
      <c r="AL26" s="102">
        <f t="shared" ref="AL26:AL27" si="32">+AE26</f>
        <v>68046.16</v>
      </c>
      <c r="AM26" s="275"/>
      <c r="AN26" s="275">
        <f>+AL26*0.175+AL26*100/G26*0.03</f>
        <v>15048.669999999998</v>
      </c>
      <c r="AO26" s="190">
        <f t="shared" ref="AO26:AO27" si="33">ROUNDUP(AL26+AF26-AN26,0)</f>
        <v>52998</v>
      </c>
      <c r="AP26" s="349"/>
      <c r="AQ26" s="349"/>
    </row>
    <row r="27" spans="1:43" s="350" customFormat="1" ht="19.5" customHeight="1" x14ac:dyDescent="0.2">
      <c r="A27" s="165"/>
      <c r="B27" s="201" t="s">
        <v>239</v>
      </c>
      <c r="C27" s="202">
        <v>25</v>
      </c>
      <c r="D27" s="163" t="s">
        <v>240</v>
      </c>
      <c r="E27" s="203">
        <v>44829</v>
      </c>
      <c r="F27" s="83" t="s">
        <v>130</v>
      </c>
      <c r="G27" s="342">
        <v>65</v>
      </c>
      <c r="H27" s="166" t="str">
        <f>+'1º QUINCENA'!H27</f>
        <v>OP INICIAL PROD</v>
      </c>
      <c r="I27" s="192">
        <f>+'1º QUINCENA'!I27</f>
        <v>668.44</v>
      </c>
      <c r="J27" s="84">
        <f>+$N$2+5</f>
        <v>63</v>
      </c>
      <c r="K27" s="84">
        <f t="shared" si="26"/>
        <v>10</v>
      </c>
      <c r="L27" s="168"/>
      <c r="M27" s="168">
        <v>2</v>
      </c>
      <c r="N27" s="168"/>
      <c r="O27" s="168"/>
      <c r="P27" s="168"/>
      <c r="Q27" s="193">
        <f>SUM(J27:O27)</f>
        <v>75</v>
      </c>
      <c r="R27" s="204">
        <f t="shared" si="1"/>
        <v>0</v>
      </c>
      <c r="S27" s="169">
        <f t="shared" ref="S27" si="34">+J27*I27</f>
        <v>42111.72</v>
      </c>
      <c r="T27" s="169">
        <f t="shared" si="27"/>
        <v>6684.4000000000005</v>
      </c>
      <c r="U27" s="169"/>
      <c r="V27" s="169">
        <f t="shared" ref="V27:V28" si="35">+L27*I27</f>
        <v>0</v>
      </c>
      <c r="W27" s="169">
        <f t="shared" ref="W27:W28" si="36">+I27*M27*2</f>
        <v>2673.76</v>
      </c>
      <c r="X27" s="169">
        <f t="shared" ref="X27:X28" si="37">+O27*I27</f>
        <v>0</v>
      </c>
      <c r="Y27" s="169">
        <f t="shared" ref="Y27:Y28" si="38">+N27*(-1)*I27</f>
        <v>0</v>
      </c>
      <c r="Z27" s="169">
        <f>IF(N27&lt;0,0,$Z$6*G27/100)</f>
        <v>3034.85</v>
      </c>
      <c r="AA27" s="169"/>
      <c r="AB27" s="169">
        <f t="shared" si="8"/>
        <v>0</v>
      </c>
      <c r="AC27" s="85"/>
      <c r="AD27" s="169">
        <v>13541.430000000008</v>
      </c>
      <c r="AE27" s="100">
        <f t="shared" si="13"/>
        <v>68046.16</v>
      </c>
      <c r="AF27" s="101"/>
      <c r="AG27" s="101"/>
      <c r="AH27" s="101"/>
      <c r="AI27" s="205"/>
      <c r="AJ27" s="205"/>
      <c r="AK27" s="205"/>
      <c r="AL27" s="102">
        <f t="shared" si="32"/>
        <v>68046.16</v>
      </c>
      <c r="AM27" s="275"/>
      <c r="AN27" s="275">
        <f>+AL27*0.175+AL27*100/G27*0.03</f>
        <v>15048.669999999998</v>
      </c>
      <c r="AO27" s="190">
        <f t="shared" si="33"/>
        <v>52998</v>
      </c>
      <c r="AP27" s="349"/>
      <c r="AQ27" s="349"/>
    </row>
    <row r="28" spans="1:43" s="350" customFormat="1" ht="19.5" customHeight="1" x14ac:dyDescent="0.2">
      <c r="A28" s="165"/>
      <c r="B28" s="201" t="s">
        <v>246</v>
      </c>
      <c r="C28" s="202">
        <v>26</v>
      </c>
      <c r="D28" s="163" t="s">
        <v>247</v>
      </c>
      <c r="E28" s="203">
        <v>44866</v>
      </c>
      <c r="F28" s="83" t="s">
        <v>130</v>
      </c>
      <c r="G28" s="342">
        <v>65</v>
      </c>
      <c r="H28" s="166" t="str">
        <f>+'1º QUINCENA'!H28</f>
        <v>OP INICIAL PROD</v>
      </c>
      <c r="I28" s="192">
        <f>+'1º QUINCENA'!I28</f>
        <v>668.44</v>
      </c>
      <c r="J28" s="84">
        <f>+$N$2+5</f>
        <v>63</v>
      </c>
      <c r="K28" s="84">
        <f t="shared" si="26"/>
        <v>10</v>
      </c>
      <c r="L28" s="168"/>
      <c r="M28" s="168">
        <v>2</v>
      </c>
      <c r="N28" s="168"/>
      <c r="O28" s="168"/>
      <c r="P28" s="168"/>
      <c r="Q28" s="193">
        <f>SUM(J28:O28)</f>
        <v>75</v>
      </c>
      <c r="R28" s="204">
        <f t="shared" si="1"/>
        <v>0</v>
      </c>
      <c r="S28" s="169">
        <f t="shared" ref="S28" si="39">+J28*I28</f>
        <v>42111.72</v>
      </c>
      <c r="T28" s="169">
        <f t="shared" ref="T28" si="40">+K28*I28</f>
        <v>6684.4000000000005</v>
      </c>
      <c r="U28" s="169"/>
      <c r="V28" s="169">
        <f t="shared" si="35"/>
        <v>0</v>
      </c>
      <c r="W28" s="169">
        <f t="shared" si="36"/>
        <v>2673.76</v>
      </c>
      <c r="X28" s="169">
        <f t="shared" si="37"/>
        <v>0</v>
      </c>
      <c r="Y28" s="169">
        <f t="shared" si="38"/>
        <v>0</v>
      </c>
      <c r="Z28" s="169">
        <f>IF(N28&lt;0,0,$Z$6*G28/100)</f>
        <v>3034.85</v>
      </c>
      <c r="AA28" s="169"/>
      <c r="AB28" s="169">
        <f t="shared" si="8"/>
        <v>0</v>
      </c>
      <c r="AC28" s="85"/>
      <c r="AD28" s="169">
        <v>7901.3300000000017</v>
      </c>
      <c r="AE28" s="100">
        <f t="shared" si="13"/>
        <v>62406.060000000005</v>
      </c>
      <c r="AF28" s="101"/>
      <c r="AG28" s="101"/>
      <c r="AH28" s="101"/>
      <c r="AI28" s="205"/>
      <c r="AJ28" s="205"/>
      <c r="AK28" s="205"/>
      <c r="AL28" s="102">
        <f t="shared" ref="AL28" si="41">+AE28</f>
        <v>62406.060000000005</v>
      </c>
      <c r="AM28" s="275"/>
      <c r="AN28" s="275">
        <f>+AL28*0.175+AL28*100/G28*0.03</f>
        <v>13801.340192307693</v>
      </c>
      <c r="AO28" s="190">
        <f t="shared" ref="AO28" si="42">ROUNDUP(AL28+AF28-AN28,0)</f>
        <v>48605</v>
      </c>
      <c r="AP28" s="349"/>
      <c r="AQ28" s="349"/>
    </row>
    <row r="29" spans="1:43" s="51" customFormat="1" ht="13.5" customHeight="1" thickBot="1" x14ac:dyDescent="0.25">
      <c r="A29" s="174"/>
      <c r="B29" s="174"/>
      <c r="C29" s="174"/>
      <c r="D29" s="175"/>
      <c r="E29" s="174"/>
      <c r="F29" s="174"/>
      <c r="G29" s="174"/>
      <c r="H29" s="74"/>
      <c r="I29" s="74"/>
      <c r="J29" s="198">
        <f>SUM(J9:J28)</f>
        <v>1391</v>
      </c>
      <c r="K29" s="198">
        <f t="shared" ref="K29:AO29" si="43">SUM(K9:K28)</f>
        <v>224</v>
      </c>
      <c r="L29" s="198">
        <f t="shared" si="43"/>
        <v>0</v>
      </c>
      <c r="M29" s="198">
        <f t="shared" si="43"/>
        <v>35</v>
      </c>
      <c r="N29" s="198">
        <f t="shared" si="43"/>
        <v>-5</v>
      </c>
      <c r="O29" s="198">
        <f t="shared" si="43"/>
        <v>0</v>
      </c>
      <c r="P29" s="198">
        <f t="shared" si="43"/>
        <v>4</v>
      </c>
      <c r="Q29" s="198">
        <f t="shared" si="43"/>
        <v>1645</v>
      </c>
      <c r="R29" s="198">
        <f t="shared" si="43"/>
        <v>0</v>
      </c>
      <c r="S29" s="198">
        <f t="shared" si="43"/>
        <v>1036754.5399999999</v>
      </c>
      <c r="T29" s="198">
        <f t="shared" si="43"/>
        <v>167105.72</v>
      </c>
      <c r="U29" s="198">
        <f t="shared" si="43"/>
        <v>29886.871069182387</v>
      </c>
      <c r="V29" s="198">
        <f t="shared" si="43"/>
        <v>0</v>
      </c>
      <c r="W29" s="198">
        <f t="shared" si="43"/>
        <v>51326.799999999996</v>
      </c>
      <c r="X29" s="198">
        <f t="shared" si="43"/>
        <v>0</v>
      </c>
      <c r="Y29" s="198">
        <f t="shared" si="43"/>
        <v>-3509.3</v>
      </c>
      <c r="Z29" s="198">
        <f t="shared" si="43"/>
        <v>64198.749999999985</v>
      </c>
      <c r="AA29" s="198">
        <f t="shared" si="43"/>
        <v>0</v>
      </c>
      <c r="AB29" s="198">
        <f t="shared" si="43"/>
        <v>4642.7999999999993</v>
      </c>
      <c r="AC29" s="198">
        <f t="shared" si="43"/>
        <v>0</v>
      </c>
      <c r="AD29" s="198">
        <f t="shared" si="43"/>
        <v>344260.8655974844</v>
      </c>
      <c r="AE29" s="198">
        <f t="shared" si="43"/>
        <v>1694667.0466666669</v>
      </c>
      <c r="AF29" s="198">
        <f t="shared" si="43"/>
        <v>0</v>
      </c>
      <c r="AG29" s="198">
        <f t="shared" si="43"/>
        <v>0</v>
      </c>
      <c r="AH29" s="198">
        <f t="shared" si="43"/>
        <v>0</v>
      </c>
      <c r="AI29" s="198">
        <f t="shared" si="43"/>
        <v>0</v>
      </c>
      <c r="AJ29" s="198">
        <f t="shared" si="43"/>
        <v>0</v>
      </c>
      <c r="AK29" s="198">
        <f t="shared" si="43"/>
        <v>0</v>
      </c>
      <c r="AL29" s="198">
        <f t="shared" si="43"/>
        <v>1694667.0466666669</v>
      </c>
      <c r="AM29" s="198">
        <f t="shared" si="43"/>
        <v>0</v>
      </c>
      <c r="AN29" s="198">
        <f t="shared" si="43"/>
        <v>366035.83826666657</v>
      </c>
      <c r="AO29" s="198">
        <f t="shared" si="43"/>
        <v>1328640</v>
      </c>
      <c r="AP29" s="351" t="e">
        <f>+AO29-#REF!</f>
        <v>#REF!</v>
      </c>
      <c r="AQ29" s="351"/>
    </row>
    <row r="30" spans="1:43" ht="12.75" x14ac:dyDescent="0.2">
      <c r="A30" s="110"/>
      <c r="B30" s="105"/>
      <c r="C30" s="121"/>
      <c r="D30" s="121"/>
      <c r="E30" s="122"/>
      <c r="F30" s="121"/>
      <c r="G30" s="121"/>
      <c r="H30" s="104"/>
      <c r="I30" s="123"/>
      <c r="J30" s="104"/>
      <c r="K30" s="124"/>
      <c r="L30" s="124"/>
      <c r="M30" s="122"/>
      <c r="N30" s="124"/>
      <c r="O30" s="124"/>
      <c r="P30" s="124"/>
      <c r="Q30" s="124"/>
      <c r="R30" s="124"/>
      <c r="S30" s="124"/>
      <c r="T30" s="125"/>
      <c r="U30" s="124"/>
      <c r="V30" s="124"/>
      <c r="W30" s="124"/>
      <c r="X30" s="124"/>
      <c r="Y30" s="91"/>
      <c r="Z30" s="104"/>
      <c r="AA30" s="104"/>
      <c r="AB30" s="104"/>
      <c r="AC30" s="104"/>
      <c r="AD30" s="104"/>
      <c r="AE30" s="104"/>
      <c r="AF30" s="104"/>
      <c r="AG30" s="104"/>
      <c r="AH30" s="104"/>
      <c r="AI30" s="108"/>
      <c r="AJ30" s="104"/>
      <c r="AK30" s="104"/>
      <c r="AL30" s="104"/>
      <c r="AM30" s="104"/>
      <c r="AN30" s="104"/>
      <c r="AO30" s="103"/>
      <c r="AP30" s="103"/>
    </row>
    <row r="31" spans="1:43" ht="13.5" customHeight="1" x14ac:dyDescent="0.2">
      <c r="B31" s="128"/>
      <c r="C31" s="104"/>
      <c r="D31" s="104"/>
      <c r="E31" s="104"/>
      <c r="K31" s="129"/>
      <c r="AL31" s="126"/>
      <c r="AO31" s="240">
        <f>+AO29+'NOMINA MES'!AI8</f>
        <v>1906573</v>
      </c>
      <c r="AQ31" s="346"/>
    </row>
    <row r="32" spans="1:43" ht="13.5" customHeight="1" x14ac:dyDescent="0.2">
      <c r="B32" s="128"/>
      <c r="C32" s="104"/>
      <c r="D32" s="104"/>
      <c r="E32" s="104"/>
      <c r="K32" s="129"/>
      <c r="AL32" s="126"/>
      <c r="AP32" s="103"/>
    </row>
    <row r="33" spans="2:41" ht="13.5" customHeight="1" x14ac:dyDescent="0.2">
      <c r="B33" s="128"/>
      <c r="C33" s="104"/>
      <c r="D33" s="104"/>
      <c r="E33" s="104"/>
      <c r="K33" s="129"/>
      <c r="U33" s="253"/>
      <c r="AO33" s="240"/>
    </row>
    <row r="34" spans="2:41" ht="13.5" customHeight="1" x14ac:dyDescent="0.2">
      <c r="B34" s="113"/>
      <c r="C34" s="104"/>
      <c r="D34" s="104"/>
      <c r="E34" s="104"/>
      <c r="K34" s="260"/>
    </row>
  </sheetData>
  <autoFilter ref="A8:AQ29"/>
  <mergeCells count="22">
    <mergeCell ref="F4:I4"/>
    <mergeCell ref="F5:I5"/>
    <mergeCell ref="J7:R7"/>
    <mergeCell ref="AC7:AC8"/>
    <mergeCell ref="AI7:AK7"/>
    <mergeCell ref="S7:AA7"/>
    <mergeCell ref="I7:I8"/>
    <mergeCell ref="F7:F8"/>
    <mergeCell ref="H7:H8"/>
    <mergeCell ref="AD7:AD8"/>
    <mergeCell ref="G7:G8"/>
    <mergeCell ref="A7:A8"/>
    <mergeCell ref="B7:B8"/>
    <mergeCell ref="C7:C8"/>
    <mergeCell ref="D7:D8"/>
    <mergeCell ref="E7:E8"/>
    <mergeCell ref="AO7:AO8"/>
    <mergeCell ref="AF7:AF8"/>
    <mergeCell ref="AM7:AM8"/>
    <mergeCell ref="AE7:AE8"/>
    <mergeCell ref="AL7:AL8"/>
    <mergeCell ref="AN7:AN8"/>
  </mergeCells>
  <conditionalFormatting sqref="Z9:Z28">
    <cfRule type="cellIs" dxfId="0" priority="2" operator="equal">
      <formula>0</formula>
    </cfRule>
  </conditionalFormatting>
  <pageMargins left="0.47244094488188981" right="0" top="0.63" bottom="0.19685039370078741" header="0.84" footer="0"/>
  <pageSetup paperSize="9" scale="4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Right="0"/>
    <pageSetUpPr fitToPage="1"/>
  </sheetPr>
  <dimension ref="A1:BF65522"/>
  <sheetViews>
    <sheetView zoomScaleNormal="100" workbookViewId="0">
      <pane xSplit="8" ySplit="4" topLeftCell="L21" activePane="bottomRight" state="frozen"/>
      <selection pane="topRight" activeCell="I1" sqref="I1"/>
      <selection pane="bottomLeft" activeCell="A5" sqref="A5"/>
      <selection pane="bottomRight" activeCell="F24" sqref="F24:F26"/>
    </sheetView>
  </sheetViews>
  <sheetFormatPr baseColWidth="10" defaultRowHeight="12.75" customHeight="1" x14ac:dyDescent="0.2"/>
  <cols>
    <col min="1" max="1" width="5.140625" style="26" customWidth="1"/>
    <col min="2" max="2" width="14.5703125" style="26" customWidth="1"/>
    <col min="3" max="3" width="4.5703125" style="26" customWidth="1"/>
    <col min="4" max="4" width="25.85546875" style="26" customWidth="1"/>
    <col min="5" max="5" width="16.42578125" style="26" customWidth="1"/>
    <col min="6" max="6" width="11" style="26" customWidth="1"/>
    <col min="7" max="7" width="7" style="26" customWidth="1"/>
    <col min="8" max="8" width="6.28515625" style="26" customWidth="1"/>
    <col min="9" max="9" width="7.42578125" style="26" customWidth="1"/>
    <col min="10" max="14" width="6.28515625" style="26" customWidth="1"/>
    <col min="15" max="15" width="12" style="26" customWidth="1"/>
    <col min="16" max="16" width="11.7109375" style="26" customWidth="1"/>
    <col min="17" max="17" width="14.42578125" style="26" customWidth="1"/>
    <col min="18" max="18" width="12.85546875" style="26" customWidth="1"/>
    <col min="19" max="20" width="14.5703125" style="26" customWidth="1"/>
    <col min="21" max="21" width="8.42578125" style="26" customWidth="1"/>
    <col min="22" max="23" width="10.28515625" style="26" hidden="1" customWidth="1"/>
    <col min="24" max="24" width="11.5703125" style="26" hidden="1" customWidth="1"/>
    <col min="25" max="26" width="10.28515625" style="26" hidden="1" customWidth="1"/>
    <col min="27" max="27" width="11.7109375" style="26" hidden="1" customWidth="1"/>
    <col min="28" max="28" width="10.5703125" style="26" hidden="1" customWidth="1"/>
    <col min="29" max="29" width="12" style="26" hidden="1" customWidth="1"/>
    <col min="30" max="30" width="10.7109375" style="26" hidden="1" customWidth="1"/>
    <col min="31" max="31" width="10" style="26" hidden="1" customWidth="1"/>
    <col min="32" max="32" width="10.85546875" style="26" hidden="1" customWidth="1"/>
    <col min="33" max="33" width="11.7109375" style="26" hidden="1" customWidth="1"/>
    <col min="34" max="34" width="11.85546875" style="26" hidden="1" customWidth="1"/>
    <col min="35" max="35" width="9.42578125" style="26" hidden="1" customWidth="1"/>
    <col min="36" max="36" width="0" style="26" hidden="1" customWidth="1"/>
    <col min="37" max="37" width="11.140625" style="26" hidden="1" customWidth="1"/>
    <col min="38" max="40" width="11.140625" style="26" customWidth="1"/>
    <col min="41" max="43" width="11.42578125" style="26"/>
    <col min="44" max="44" width="12.85546875" style="26" customWidth="1"/>
    <col min="45" max="45" width="12.85546875" style="26" hidden="1" customWidth="1"/>
    <col min="46" max="47" width="11.42578125" style="26"/>
    <col min="48" max="48" width="12" style="26" customWidth="1"/>
    <col min="49" max="49" width="13" style="26" bestFit="1" customWidth="1"/>
    <col min="50" max="51" width="11.5703125" style="26" bestFit="1" customWidth="1"/>
    <col min="52" max="52" width="10.42578125" style="26" customWidth="1"/>
    <col min="53" max="53" width="11.5703125" style="26" customWidth="1"/>
    <col min="54" max="54" width="11.5703125" style="26" bestFit="1" customWidth="1"/>
    <col min="55" max="55" width="11.42578125" style="26"/>
    <col min="56" max="56" width="11.5703125" style="26" bestFit="1" customWidth="1"/>
    <col min="57" max="57" width="14.42578125" style="26" customWidth="1"/>
    <col min="58" max="16384" width="11.42578125" style="26"/>
  </cols>
  <sheetData>
    <row r="1" spans="1:58" ht="26.25" thickBot="1" x14ac:dyDescent="0.4">
      <c r="A1" s="36" t="str">
        <f>+'NOMINA MES'!A1</f>
        <v>COOP AGRICOLA GANADERA AARON CASTELLANOS</v>
      </c>
      <c r="B1" s="29"/>
      <c r="C1" s="30"/>
      <c r="D1" s="30"/>
      <c r="G1" s="87"/>
      <c r="H1" s="30"/>
      <c r="I1" s="30"/>
      <c r="J1" s="30"/>
      <c r="K1" s="30"/>
      <c r="L1" s="30"/>
      <c r="M1" s="30"/>
      <c r="N1" s="30"/>
      <c r="O1" s="94"/>
      <c r="P1" s="30"/>
      <c r="Q1" s="130">
        <f>+'1º QUINCENA'!D3</f>
        <v>44926</v>
      </c>
      <c r="R1" s="30"/>
      <c r="S1" s="245">
        <v>0</v>
      </c>
      <c r="T1" s="30"/>
      <c r="U1" s="30"/>
      <c r="V1" s="30"/>
      <c r="W1" s="30"/>
      <c r="X1" s="30"/>
      <c r="Y1" s="30"/>
      <c r="Z1" s="30"/>
      <c r="AA1" s="230">
        <v>672.13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X1" s="60"/>
      <c r="AY1" s="352">
        <f>+Q22/H22*100</f>
        <v>212174.37188679245</v>
      </c>
      <c r="AZ1" s="30">
        <f>+AY1*0.06</f>
        <v>12730.462313207547</v>
      </c>
      <c r="BA1" s="30"/>
      <c r="BB1" s="135" t="s">
        <v>37</v>
      </c>
    </row>
    <row r="2" spans="1:58" ht="21" customHeight="1" x14ac:dyDescent="0.35">
      <c r="A2" s="36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73">
        <f>+Q22/65*100</f>
        <v>326422.11059506534</v>
      </c>
      <c r="Q2" s="273"/>
      <c r="R2" s="30"/>
      <c r="S2" s="243">
        <v>16881.84</v>
      </c>
      <c r="T2" s="65" t="e">
        <f>+#REF!/65*100</f>
        <v>#REF!</v>
      </c>
      <c r="U2" s="30"/>
      <c r="V2" s="30"/>
      <c r="W2" s="30"/>
      <c r="X2" s="248">
        <v>1</v>
      </c>
      <c r="Y2" s="248">
        <v>1</v>
      </c>
      <c r="Z2" s="248">
        <v>1</v>
      </c>
      <c r="AA2" s="492" t="s">
        <v>81</v>
      </c>
      <c r="AB2" s="493"/>
      <c r="AC2" s="493"/>
      <c r="AD2" s="493"/>
      <c r="AE2" s="493"/>
      <c r="AF2" s="493"/>
      <c r="AG2" s="493"/>
      <c r="AH2" s="494"/>
      <c r="AI2" s="30"/>
      <c r="AJ2" s="86">
        <v>1</v>
      </c>
      <c r="AK2" s="86"/>
      <c r="AL2" s="283"/>
      <c r="AM2" s="440">
        <v>4</v>
      </c>
      <c r="AN2" s="86"/>
      <c r="AO2" s="30"/>
      <c r="AP2" s="30"/>
      <c r="AQ2" s="30"/>
      <c r="AT2" s="26">
        <f>+Q8/65*100*0.06</f>
        <v>12289.479692307688</v>
      </c>
      <c r="AX2" s="60"/>
      <c r="AZ2" s="394">
        <v>164</v>
      </c>
      <c r="BA2" s="30"/>
      <c r="BB2" s="60" t="s">
        <v>179</v>
      </c>
    </row>
    <row r="3" spans="1:58" ht="12.75" customHeight="1" thickBot="1" x14ac:dyDescent="0.25">
      <c r="B3" s="30"/>
      <c r="C3" s="30"/>
      <c r="D3" s="30"/>
      <c r="E3" s="30"/>
      <c r="F3" s="30"/>
      <c r="G3" s="30"/>
      <c r="H3" s="30"/>
      <c r="I3" s="30"/>
      <c r="J3" s="30"/>
      <c r="K3" s="490" t="s">
        <v>111</v>
      </c>
      <c r="L3" s="490"/>
      <c r="M3" s="490"/>
      <c r="N3" s="490"/>
      <c r="O3" s="30"/>
      <c r="P3" s="30"/>
      <c r="Q3" s="30"/>
      <c r="R3" s="30"/>
      <c r="S3" s="244">
        <v>7003.68</v>
      </c>
      <c r="T3" s="224" t="e">
        <f>+T2*0.06</f>
        <v>#REF!</v>
      </c>
      <c r="U3" s="30"/>
      <c r="V3" s="495" t="s">
        <v>38</v>
      </c>
      <c r="W3" s="495"/>
      <c r="X3" s="495"/>
      <c r="Y3" s="495"/>
      <c r="Z3" s="496"/>
      <c r="AA3" s="497" t="s">
        <v>92</v>
      </c>
      <c r="AB3" s="499" t="s">
        <v>93</v>
      </c>
      <c r="AC3" s="499" t="s">
        <v>94</v>
      </c>
      <c r="AD3" s="501" t="s">
        <v>103</v>
      </c>
      <c r="AE3" s="503" t="s">
        <v>83</v>
      </c>
      <c r="AF3" s="505" t="s">
        <v>84</v>
      </c>
      <c r="AG3" s="507" t="s">
        <v>95</v>
      </c>
      <c r="AH3" s="509" t="s">
        <v>86</v>
      </c>
      <c r="AI3" s="488" t="s">
        <v>63</v>
      </c>
      <c r="AJ3" s="489"/>
      <c r="AK3" s="483" t="s">
        <v>130</v>
      </c>
      <c r="AL3" s="484"/>
      <c r="AM3" s="484"/>
      <c r="AN3" s="485"/>
      <c r="AO3" s="513" t="s">
        <v>9</v>
      </c>
      <c r="AP3" s="514"/>
      <c r="AQ3" s="514"/>
      <c r="AR3" s="514"/>
      <c r="AS3" s="514"/>
      <c r="AT3" s="514"/>
      <c r="AU3" s="515" t="s">
        <v>10</v>
      </c>
      <c r="AV3" s="517" t="s">
        <v>11</v>
      </c>
      <c r="AW3" s="518"/>
      <c r="AX3" s="519"/>
      <c r="AY3" s="482" t="s">
        <v>10</v>
      </c>
      <c r="AZ3" s="511" t="s">
        <v>8</v>
      </c>
      <c r="BA3" s="512"/>
      <c r="BB3" s="145">
        <v>0</v>
      </c>
      <c r="BD3" s="482" t="s">
        <v>143</v>
      </c>
      <c r="BE3" s="491" t="s">
        <v>144</v>
      </c>
    </row>
    <row r="4" spans="1:58" ht="61.5" customHeight="1" thickBot="1" x14ac:dyDescent="0.25">
      <c r="A4" s="92" t="s">
        <v>5</v>
      </c>
      <c r="B4" s="92" t="s">
        <v>0</v>
      </c>
      <c r="C4" s="41" t="s">
        <v>6</v>
      </c>
      <c r="D4" s="92" t="s">
        <v>1</v>
      </c>
      <c r="E4" s="159" t="s">
        <v>29</v>
      </c>
      <c r="F4" s="92" t="s">
        <v>3</v>
      </c>
      <c r="G4" s="41" t="s">
        <v>30</v>
      </c>
      <c r="H4" s="41" t="s">
        <v>12</v>
      </c>
      <c r="I4" s="93" t="s">
        <v>89</v>
      </c>
      <c r="J4" s="214" t="s">
        <v>105</v>
      </c>
      <c r="K4" s="220" t="s">
        <v>106</v>
      </c>
      <c r="L4" s="221" t="s">
        <v>107</v>
      </c>
      <c r="M4" s="221" t="s">
        <v>108</v>
      </c>
      <c r="N4" s="222" t="s">
        <v>109</v>
      </c>
      <c r="O4" s="216" t="s">
        <v>62</v>
      </c>
      <c r="P4" s="142" t="s">
        <v>61</v>
      </c>
      <c r="Q4" s="140" t="s">
        <v>32</v>
      </c>
      <c r="R4" s="140" t="s">
        <v>33</v>
      </c>
      <c r="S4" s="242" t="s">
        <v>110</v>
      </c>
      <c r="T4" s="225" t="s">
        <v>117</v>
      </c>
      <c r="U4" s="30"/>
      <c r="V4" s="209" t="s">
        <v>40</v>
      </c>
      <c r="W4" s="209" t="s">
        <v>50</v>
      </c>
      <c r="X4" s="249" t="s">
        <v>41</v>
      </c>
      <c r="Y4" s="161" t="s">
        <v>42</v>
      </c>
      <c r="Z4" s="162" t="s">
        <v>119</v>
      </c>
      <c r="AA4" s="498"/>
      <c r="AB4" s="500"/>
      <c r="AC4" s="500"/>
      <c r="AD4" s="502"/>
      <c r="AE4" s="504"/>
      <c r="AF4" s="506"/>
      <c r="AG4" s="508" t="s">
        <v>85</v>
      </c>
      <c r="AH4" s="510"/>
      <c r="AI4" s="213" t="s">
        <v>65</v>
      </c>
      <c r="AJ4" s="80" t="s">
        <v>64</v>
      </c>
      <c r="AK4" s="319" t="s">
        <v>139</v>
      </c>
      <c r="AL4" s="319" t="s">
        <v>140</v>
      </c>
      <c r="AM4" s="319" t="s">
        <v>245</v>
      </c>
      <c r="AN4" s="319" t="s">
        <v>141</v>
      </c>
      <c r="AO4" s="143" t="s">
        <v>13</v>
      </c>
      <c r="AP4" s="143" t="s">
        <v>14</v>
      </c>
      <c r="AQ4" s="143" t="s">
        <v>15</v>
      </c>
      <c r="AR4" s="143" t="s">
        <v>16</v>
      </c>
      <c r="AS4" s="144" t="s">
        <v>120</v>
      </c>
      <c r="AT4" s="144" t="s">
        <v>17</v>
      </c>
      <c r="AU4" s="516"/>
      <c r="AV4" s="212" t="s">
        <v>13</v>
      </c>
      <c r="AW4" s="210" t="s">
        <v>14</v>
      </c>
      <c r="AX4" s="211" t="s">
        <v>17</v>
      </c>
      <c r="AY4" s="482"/>
      <c r="AZ4" s="282" t="s">
        <v>142</v>
      </c>
      <c r="BA4" s="282" t="s">
        <v>181</v>
      </c>
      <c r="BB4" s="160" t="s">
        <v>39</v>
      </c>
      <c r="BD4" s="482"/>
      <c r="BE4" s="491"/>
      <c r="BF4" s="21" t="s">
        <v>205</v>
      </c>
    </row>
    <row r="5" spans="1:58" s="340" customFormat="1" ht="22.5" customHeight="1" thickBot="1" x14ac:dyDescent="0.25">
      <c r="A5" s="322">
        <f>1</f>
        <v>1</v>
      </c>
      <c r="B5" s="323">
        <v>20267676527</v>
      </c>
      <c r="C5" s="324">
        <v>1</v>
      </c>
      <c r="D5" s="325" t="s">
        <v>146</v>
      </c>
      <c r="E5" s="324" t="str">
        <f>+'NOMINA MES'!E6</f>
        <v>ADM INICIAL</v>
      </c>
      <c r="F5" s="326">
        <v>44710</v>
      </c>
      <c r="G5" s="327">
        <f t="shared" ref="G5:G26" si="0">DATEDIF(F5,$Q$1,"Y")</f>
        <v>0</v>
      </c>
      <c r="H5" s="324">
        <v>100</v>
      </c>
      <c r="I5" s="324"/>
      <c r="J5" s="328">
        <v>14</v>
      </c>
      <c r="K5" s="345">
        <f>+'NOMINA MES'!K6+'NOMINA MES'!N6-1</f>
        <v>29</v>
      </c>
      <c r="L5" s="327">
        <f>+'NOMINA MES'!M6</f>
        <v>0</v>
      </c>
      <c r="M5" s="327">
        <f>-'NOMINA MES'!L6</f>
        <v>0</v>
      </c>
      <c r="N5" s="329">
        <f>+K5+L5-M5</f>
        <v>29</v>
      </c>
      <c r="O5" s="330"/>
      <c r="P5" s="330">
        <f>+'NOMINA MES'!X6</f>
        <v>382431.13500000001</v>
      </c>
      <c r="Q5" s="331">
        <f>+O5+P5</f>
        <v>382431.13500000001</v>
      </c>
      <c r="R5" s="331">
        <f>+'NOMINA MES'!AA6</f>
        <v>0</v>
      </c>
      <c r="S5" s="332">
        <f t="shared" ref="S5:S26" si="1">IF(Q5&lt;$S$2,0,($S$3*H5/100)/30*N5)+IF(Q5&lt;$S$2,0,($S$3*H5/100)/2)*32/181*$S$1</f>
        <v>6770.2240000000002</v>
      </c>
      <c r="T5" s="331">
        <f>+Q5-S5</f>
        <v>375660.91100000002</v>
      </c>
      <c r="U5" s="333"/>
      <c r="V5" s="334"/>
      <c r="W5" s="334"/>
      <c r="X5" s="334"/>
      <c r="Y5" s="334"/>
      <c r="Z5" s="334"/>
      <c r="AA5" s="334"/>
      <c r="AB5" s="335"/>
      <c r="AC5" s="334"/>
      <c r="AD5" s="334"/>
      <c r="AE5" s="334"/>
      <c r="AF5" s="334"/>
      <c r="AG5" s="334"/>
      <c r="AH5" s="335"/>
      <c r="AI5" s="336"/>
      <c r="AJ5" s="336"/>
      <c r="AK5" s="337"/>
      <c r="AL5" s="337">
        <f>+Q5*0.015</f>
        <v>5736.4670249999999</v>
      </c>
      <c r="AM5" s="337">
        <f>$AM$2</f>
        <v>4</v>
      </c>
      <c r="AN5" s="337">
        <f>Q5*0.02</f>
        <v>7648.6226999999999</v>
      </c>
      <c r="AO5" s="338">
        <f t="shared" ref="AO5:AO11" si="2">(T5)*(10.77)/100</f>
        <v>40458.680114700001</v>
      </c>
      <c r="AP5" s="338">
        <f t="shared" ref="AP5:AP11" si="3">T5*1.59/100</f>
        <v>5973.0084849000013</v>
      </c>
      <c r="AQ5" s="338">
        <f t="shared" ref="AQ5:AQ11" si="4">T5*4.7/100</f>
        <v>17656.062817000002</v>
      </c>
      <c r="AR5" s="338">
        <f t="shared" ref="AR5:AR11" si="5">T5*0.94/100</f>
        <v>3531.2125634000004</v>
      </c>
      <c r="AS5" s="338"/>
      <c r="AT5" s="339">
        <f t="shared" ref="AT5:AT11" si="6">IF((Q5*100/H5)&lt;=2400,((Q5*100/H5)*6/100)*10/100,((Q5*100/H5)*6/100)*15/100)</f>
        <v>3441.8802149999997</v>
      </c>
      <c r="AU5" s="339">
        <f t="shared" ref="AU5:AU11" si="7">IF((Q5*100/H5)&lt;=2400,((Q5*100/H5)*6/100)*90/100,((Q5*100/H5)*6/100)*85/100)</f>
        <v>19503.987884999999</v>
      </c>
      <c r="AV5" s="338">
        <f>Q5*11/100</f>
        <v>42067.424850000003</v>
      </c>
      <c r="AW5" s="338">
        <f>Q5*3/100</f>
        <v>11472.93405</v>
      </c>
      <c r="AX5" s="339">
        <f t="shared" ref="AX5:AX11" si="8">IF((Q5*100/H5)&lt;=2400,((Q5*100/H5)*3/100)*10/100,((Q5*100/H5)*3/100)*15/100)</f>
        <v>1720.9401074999998</v>
      </c>
      <c r="AY5" s="339">
        <f t="shared" ref="AY5:AY11" si="9">IF((Q5*100/H5)&lt;=2400,((Q5*100/H5)*3/100)*90/100,((Q5*100/H5)*3/100)*85/100)</f>
        <v>9751.9939424999993</v>
      </c>
      <c r="AZ5" s="338">
        <f>$AZ$2</f>
        <v>164</v>
      </c>
      <c r="BA5" s="338">
        <f>(Q5+R5)*9.61/100</f>
        <v>36751.632073499997</v>
      </c>
      <c r="BB5" s="338">
        <v>37.21</v>
      </c>
      <c r="BD5" s="338">
        <f>+AV5+AW5+AX5+AY5+V5+W5+AK5+AL5+AN5</f>
        <v>78398.382675000001</v>
      </c>
      <c r="BE5" s="338">
        <f>+ROUNDUP(Q5+R5-BD5,0)</f>
        <v>304033</v>
      </c>
      <c r="BF5" s="439">
        <f>+Q5</f>
        <v>382431.13500000001</v>
      </c>
    </row>
    <row r="6" spans="1:58" ht="22.5" customHeight="1" thickBot="1" x14ac:dyDescent="0.25">
      <c r="A6" s="189">
        <f>+A5+1</f>
        <v>2</v>
      </c>
      <c r="B6" s="201">
        <v>23407867149</v>
      </c>
      <c r="C6" s="202">
        <v>3</v>
      </c>
      <c r="D6" s="163" t="s">
        <v>149</v>
      </c>
      <c r="E6" s="45" t="str">
        <f>+'1º QUINCENA'!H9</f>
        <v>CALIF PROD</v>
      </c>
      <c r="F6" s="47">
        <v>44710</v>
      </c>
      <c r="G6" s="48">
        <f t="shared" si="0"/>
        <v>0</v>
      </c>
      <c r="H6" s="344">
        <f>+'2º QUINCENA'!G9</f>
        <v>100</v>
      </c>
      <c r="I6" s="158"/>
      <c r="J6" s="215">
        <v>14</v>
      </c>
      <c r="K6" s="218">
        <v>30</v>
      </c>
      <c r="L6" s="45"/>
      <c r="M6" s="45"/>
      <c r="N6" s="219">
        <f t="shared" ref="N6:N7" si="10">+K6+L6-M6</f>
        <v>30</v>
      </c>
      <c r="O6" s="318">
        <f>+'1º QUINCENA'!AG9</f>
        <v>92108.4</v>
      </c>
      <c r="P6" s="318">
        <f>+'2º QUINCENA'!AE9</f>
        <v>120501.74000000003</v>
      </c>
      <c r="Q6" s="148">
        <f>+O6+P6</f>
        <v>212610.14</v>
      </c>
      <c r="R6" s="148">
        <f>+'1º QUINCENA'!AH9+'2º QUINCENA'!AF9+'2º QUINCENA'!AG9+'2º QUINCENA'!AH9</f>
        <v>0</v>
      </c>
      <c r="S6" s="261">
        <f t="shared" si="1"/>
        <v>7003.68</v>
      </c>
      <c r="T6" s="61">
        <f t="shared" ref="T6:T8" si="11">+Q6-S6</f>
        <v>205606.46000000002</v>
      </c>
      <c r="U6" s="30"/>
      <c r="V6" s="256"/>
      <c r="W6" s="256"/>
      <c r="X6" s="256"/>
      <c r="Y6" s="256"/>
      <c r="Z6" s="256"/>
      <c r="AA6" s="256"/>
      <c r="AB6" s="257"/>
      <c r="AC6" s="256"/>
      <c r="AD6" s="256"/>
      <c r="AE6" s="256"/>
      <c r="AF6" s="256"/>
      <c r="AG6" s="256"/>
      <c r="AH6" s="257"/>
      <c r="AI6" s="147"/>
      <c r="AJ6" s="147"/>
      <c r="AK6" s="246"/>
      <c r="AL6" s="246">
        <f t="shared" ref="AL6:AL22" si="12">+Q6*0.015</f>
        <v>3189.1521000000002</v>
      </c>
      <c r="AM6" s="246">
        <f t="shared" ref="AM6:AM25" si="13">$AM$2</f>
        <v>4</v>
      </c>
      <c r="AN6" s="246">
        <f t="shared" ref="AN6:AN22" si="14">Q6*0.02</f>
        <v>4252.2028</v>
      </c>
      <c r="AO6" s="62">
        <f t="shared" si="2"/>
        <v>22143.815742000003</v>
      </c>
      <c r="AP6" s="62">
        <f t="shared" si="3"/>
        <v>3269.1427140000001</v>
      </c>
      <c r="AQ6" s="62">
        <f t="shared" si="4"/>
        <v>9663.5036200000013</v>
      </c>
      <c r="AR6" s="62">
        <f t="shared" si="5"/>
        <v>1932.700724</v>
      </c>
      <c r="AS6" s="156"/>
      <c r="AT6" s="49">
        <f t="shared" si="6"/>
        <v>1913.4912600000002</v>
      </c>
      <c r="AU6" s="49">
        <f t="shared" si="7"/>
        <v>10843.117140000002</v>
      </c>
      <c r="AV6" s="62">
        <f>Q6*11/100</f>
        <v>23387.115399999999</v>
      </c>
      <c r="AW6" s="62">
        <f t="shared" ref="AW6:AW8" si="15">Q6*3/100</f>
        <v>6378.3042000000005</v>
      </c>
      <c r="AX6" s="49">
        <f t="shared" si="8"/>
        <v>956.74563000000012</v>
      </c>
      <c r="AY6" s="49">
        <f t="shared" si="9"/>
        <v>5421.5585700000011</v>
      </c>
      <c r="AZ6" s="62">
        <f t="shared" ref="AZ6:AZ26" si="16">$AZ$2</f>
        <v>164</v>
      </c>
      <c r="BA6" s="62">
        <f t="shared" ref="BA6:BA26" si="17">(Q6+R6)*9.61/100</f>
        <v>20431.834454</v>
      </c>
      <c r="BB6" s="62">
        <v>37.21</v>
      </c>
      <c r="BD6" s="62">
        <f>+AV6+AW6+AX6+AY6+V6+W6+AK6+AL6+AN6</f>
        <v>43585.078700000005</v>
      </c>
      <c r="BE6" s="320">
        <f>+ROUNDUP(Q6+R6-BD6,0)</f>
        <v>169026</v>
      </c>
      <c r="BF6" s="27">
        <f>+Q6+R6</f>
        <v>212610.14</v>
      </c>
    </row>
    <row r="7" spans="1:58" s="21" customFormat="1" ht="22.5" customHeight="1" x14ac:dyDescent="0.2">
      <c r="A7" s="189">
        <f t="shared" ref="A7:A26" si="18">+A6+1</f>
        <v>3</v>
      </c>
      <c r="B7" s="201">
        <v>20426095034</v>
      </c>
      <c r="C7" s="202">
        <v>4</v>
      </c>
      <c r="D7" s="163" t="s">
        <v>150</v>
      </c>
      <c r="E7" s="45" t="str">
        <f>+'1º QUINCENA'!H10</f>
        <v>CALIF PROD</v>
      </c>
      <c r="F7" s="47">
        <v>44710</v>
      </c>
      <c r="G7" s="48">
        <f t="shared" si="0"/>
        <v>0</v>
      </c>
      <c r="H7" s="48">
        <f>+'2º QUINCENA'!G10</f>
        <v>65</v>
      </c>
      <c r="I7" s="158"/>
      <c r="J7" s="215">
        <v>14</v>
      </c>
      <c r="K7" s="218">
        <v>30</v>
      </c>
      <c r="L7" s="45"/>
      <c r="M7" s="45"/>
      <c r="N7" s="219">
        <f t="shared" si="10"/>
        <v>30</v>
      </c>
      <c r="O7" s="318">
        <f>+'1º QUINCENA'!AG10</f>
        <v>55653.249999999993</v>
      </c>
      <c r="P7" s="318">
        <f>+'2º QUINCENA'!AE10</f>
        <v>74534.509999999995</v>
      </c>
      <c r="Q7" s="148">
        <f t="shared" ref="Q7:Q26" si="19">+O7+P7</f>
        <v>130187.75999999998</v>
      </c>
      <c r="R7" s="148">
        <f>+'1º QUINCENA'!AH10+'2º QUINCENA'!AF10+'2º QUINCENA'!AG10+'2º QUINCENA'!AH10</f>
        <v>0</v>
      </c>
      <c r="S7" s="261">
        <f t="shared" si="1"/>
        <v>4552.3919999999998</v>
      </c>
      <c r="T7" s="61">
        <f t="shared" si="11"/>
        <v>125635.36799999999</v>
      </c>
      <c r="U7" s="30"/>
      <c r="V7" s="256"/>
      <c r="W7" s="256"/>
      <c r="X7" s="256"/>
      <c r="Y7" s="256"/>
      <c r="Z7" s="256"/>
      <c r="AA7" s="256"/>
      <c r="AB7" s="257"/>
      <c r="AC7" s="256"/>
      <c r="AD7" s="256"/>
      <c r="AE7" s="256"/>
      <c r="AF7" s="256"/>
      <c r="AG7" s="256"/>
      <c r="AH7" s="257"/>
      <c r="AI7" s="147"/>
      <c r="AJ7" s="147"/>
      <c r="AK7" s="246"/>
      <c r="AL7" s="246">
        <f t="shared" si="12"/>
        <v>1952.8163999999997</v>
      </c>
      <c r="AM7" s="246">
        <f t="shared" si="13"/>
        <v>4</v>
      </c>
      <c r="AN7" s="246">
        <f t="shared" si="14"/>
        <v>2603.7551999999996</v>
      </c>
      <c r="AO7" s="62">
        <f t="shared" si="2"/>
        <v>13530.929133599999</v>
      </c>
      <c r="AP7" s="62">
        <f t="shared" si="3"/>
        <v>1997.6023511999999</v>
      </c>
      <c r="AQ7" s="62">
        <f t="shared" si="4"/>
        <v>5904.8622959999993</v>
      </c>
      <c r="AR7" s="62">
        <f t="shared" si="5"/>
        <v>1180.9724591999998</v>
      </c>
      <c r="AS7" s="156"/>
      <c r="AT7" s="49">
        <f t="shared" si="6"/>
        <v>1802.5997538461534</v>
      </c>
      <c r="AU7" s="49">
        <f t="shared" si="7"/>
        <v>10214.731938461535</v>
      </c>
      <c r="AV7" s="62">
        <f t="shared" ref="AV7:AV8" si="20">Q7*11/100</f>
        <v>14320.653599999998</v>
      </c>
      <c r="AW7" s="62">
        <f t="shared" si="15"/>
        <v>3905.632799999999</v>
      </c>
      <c r="AX7" s="49">
        <f>IF((Q7*100/H7)&lt;=2400,((Q7*100/H7)*3/100)*10/100,((Q7*100/H7)*3/100)*15/100)</f>
        <v>901.29987692307668</v>
      </c>
      <c r="AY7" s="49">
        <f t="shared" si="9"/>
        <v>5107.3659692307674</v>
      </c>
      <c r="AZ7" s="62">
        <f t="shared" si="16"/>
        <v>164</v>
      </c>
      <c r="BA7" s="62">
        <f t="shared" si="17"/>
        <v>12511.043735999998</v>
      </c>
      <c r="BB7" s="62">
        <v>37.21</v>
      </c>
      <c r="BC7" s="26"/>
      <c r="BD7" s="62">
        <f t="shared" ref="BD7:BD22" si="21">+AV7+AW7+AX7+AY7+V7+W7+AK7+AL7+AN7</f>
        <v>28791.523846153839</v>
      </c>
      <c r="BE7" s="320">
        <f t="shared" ref="BE7:BE22" si="22">+ROUNDUP(Q7+R7-BD7,0)</f>
        <v>101397</v>
      </c>
      <c r="BF7" s="395">
        <f>+Q7/H7*100</f>
        <v>200288.86153846153</v>
      </c>
    </row>
    <row r="8" spans="1:58" s="21" customFormat="1" ht="22.5" customHeight="1" x14ac:dyDescent="0.2">
      <c r="A8" s="189">
        <f t="shared" si="18"/>
        <v>4</v>
      </c>
      <c r="B8" s="201">
        <v>20355584098</v>
      </c>
      <c r="C8" s="202">
        <v>5</v>
      </c>
      <c r="D8" s="163" t="s">
        <v>151</v>
      </c>
      <c r="E8" s="45" t="str">
        <f>+'1º QUINCENA'!H11</f>
        <v>CALIF PROD</v>
      </c>
      <c r="F8" s="47">
        <v>44710</v>
      </c>
      <c r="G8" s="206">
        <f t="shared" si="0"/>
        <v>0</v>
      </c>
      <c r="H8" s="48">
        <f>+'2º QUINCENA'!G11</f>
        <v>65</v>
      </c>
      <c r="I8" s="158"/>
      <c r="J8" s="215">
        <v>14</v>
      </c>
      <c r="K8" s="218">
        <v>30</v>
      </c>
      <c r="L8" s="45"/>
      <c r="M8" s="45"/>
      <c r="N8" s="219">
        <f>+K8+L8-M8</f>
        <v>30</v>
      </c>
      <c r="O8" s="318">
        <f>+'1º QUINCENA'!AG11</f>
        <v>55653.249999999993</v>
      </c>
      <c r="P8" s="318">
        <f>+'2º QUINCENA'!AE11</f>
        <v>77482.779999999984</v>
      </c>
      <c r="Q8" s="148">
        <f t="shared" si="19"/>
        <v>133136.02999999997</v>
      </c>
      <c r="R8" s="148">
        <f>+'1º QUINCENA'!AH11+'2º QUINCENA'!AF11+'2º QUINCENA'!AG11+'2º QUINCENA'!AH11</f>
        <v>0</v>
      </c>
      <c r="S8" s="261">
        <f t="shared" si="1"/>
        <v>4552.3919999999998</v>
      </c>
      <c r="T8" s="61">
        <f t="shared" si="11"/>
        <v>128583.63799999998</v>
      </c>
      <c r="U8" s="30"/>
      <c r="V8" s="256"/>
      <c r="W8" s="256"/>
      <c r="X8" s="256"/>
      <c r="Y8" s="256"/>
      <c r="Z8" s="256"/>
      <c r="AA8" s="256"/>
      <c r="AB8" s="257"/>
      <c r="AC8" s="256"/>
      <c r="AD8" s="256"/>
      <c r="AE8" s="256"/>
      <c r="AF8" s="256"/>
      <c r="AG8" s="256"/>
      <c r="AH8" s="257"/>
      <c r="AI8" s="172"/>
      <c r="AJ8" s="172"/>
      <c r="AK8" s="246"/>
      <c r="AL8" s="246">
        <f t="shared" si="12"/>
        <v>1997.0404499999995</v>
      </c>
      <c r="AM8" s="246">
        <f t="shared" si="13"/>
        <v>4</v>
      </c>
      <c r="AN8" s="246">
        <f t="shared" si="14"/>
        <v>2662.7205999999996</v>
      </c>
      <c r="AO8" s="62">
        <f t="shared" si="2"/>
        <v>13848.457812599996</v>
      </c>
      <c r="AP8" s="62">
        <f t="shared" si="3"/>
        <v>2044.4798441999997</v>
      </c>
      <c r="AQ8" s="62">
        <f t="shared" si="4"/>
        <v>6043.4309859999994</v>
      </c>
      <c r="AR8" s="62">
        <f t="shared" si="5"/>
        <v>1208.6861971999997</v>
      </c>
      <c r="AS8" s="156"/>
      <c r="AT8" s="49">
        <f>IF((Q8*100/H8)&lt;=2400,((Q8*100/H8)*6/100)*10/100,((Q8*100/H8)*6/100)*15/100)</f>
        <v>1843.4219538461537</v>
      </c>
      <c r="AU8" s="49">
        <f t="shared" si="7"/>
        <v>10446.057738461537</v>
      </c>
      <c r="AV8" s="62">
        <f t="shared" si="20"/>
        <v>14644.963299999996</v>
      </c>
      <c r="AW8" s="62">
        <f t="shared" si="15"/>
        <v>3994.080899999999</v>
      </c>
      <c r="AX8" s="49">
        <f t="shared" si="8"/>
        <v>921.71097692307683</v>
      </c>
      <c r="AY8" s="49">
        <f t="shared" si="9"/>
        <v>5223.0288692307686</v>
      </c>
      <c r="AZ8" s="62">
        <f t="shared" si="16"/>
        <v>164</v>
      </c>
      <c r="BA8" s="62">
        <f t="shared" si="17"/>
        <v>12794.372482999996</v>
      </c>
      <c r="BB8" s="62">
        <v>37.21</v>
      </c>
      <c r="BC8" s="26"/>
      <c r="BD8" s="62">
        <f t="shared" si="21"/>
        <v>29443.545096153844</v>
      </c>
      <c r="BE8" s="320">
        <f t="shared" si="22"/>
        <v>103693</v>
      </c>
      <c r="BF8" s="395">
        <f>+Q8/H8*100</f>
        <v>204824.66153846149</v>
      </c>
    </row>
    <row r="9" spans="1:58" s="21" customFormat="1" ht="22.5" customHeight="1" x14ac:dyDescent="0.2">
      <c r="A9" s="189">
        <f t="shared" si="18"/>
        <v>5</v>
      </c>
      <c r="B9" s="201">
        <v>20351621738</v>
      </c>
      <c r="C9" s="202">
        <v>7</v>
      </c>
      <c r="D9" s="163" t="s">
        <v>153</v>
      </c>
      <c r="E9" s="45" t="str">
        <f>+'1º QUINCENA'!H12</f>
        <v>PEON PRACTICO PROD</v>
      </c>
      <c r="F9" s="47">
        <v>44710</v>
      </c>
      <c r="G9" s="206">
        <f t="shared" si="0"/>
        <v>0</v>
      </c>
      <c r="H9" s="48">
        <f>+'2º QUINCENA'!G12</f>
        <v>65</v>
      </c>
      <c r="I9" s="158"/>
      <c r="J9" s="215">
        <v>14</v>
      </c>
      <c r="K9" s="218">
        <v>30</v>
      </c>
      <c r="L9" s="171"/>
      <c r="M9" s="171"/>
      <c r="N9" s="219">
        <f t="shared" ref="N9:N26" si="23">+K9+L9-M9</f>
        <v>30</v>
      </c>
      <c r="O9" s="318">
        <f>+'1º QUINCENA'!AG12</f>
        <v>50761.329999999994</v>
      </c>
      <c r="P9" s="318">
        <f>+'2º QUINCENA'!AE12</f>
        <v>70496.040000000008</v>
      </c>
      <c r="Q9" s="148">
        <f t="shared" si="19"/>
        <v>121257.37</v>
      </c>
      <c r="R9" s="148">
        <f>+'1º QUINCENA'!AH12+'2º QUINCENA'!AF12+'2º QUINCENA'!AG12+'2º QUINCENA'!AH12</f>
        <v>0</v>
      </c>
      <c r="S9" s="261">
        <f t="shared" si="1"/>
        <v>4552.3919999999998</v>
      </c>
      <c r="T9" s="61">
        <f t="shared" ref="T9:T26" si="24">+Q9-S9</f>
        <v>116704.978</v>
      </c>
      <c r="U9" s="30"/>
      <c r="V9" s="255"/>
      <c r="W9" s="255"/>
      <c r="X9" s="255"/>
      <c r="Y9" s="255"/>
      <c r="Z9" s="255"/>
      <c r="AA9" s="256"/>
      <c r="AB9" s="257"/>
      <c r="AC9" s="256"/>
      <c r="AD9" s="256"/>
      <c r="AE9" s="256"/>
      <c r="AF9" s="256"/>
      <c r="AG9" s="256"/>
      <c r="AH9" s="257"/>
      <c r="AI9" s="172"/>
      <c r="AJ9" s="172"/>
      <c r="AK9" s="246"/>
      <c r="AL9" s="246">
        <f t="shared" si="12"/>
        <v>1818.8605499999999</v>
      </c>
      <c r="AM9" s="246">
        <f t="shared" si="13"/>
        <v>4</v>
      </c>
      <c r="AN9" s="246">
        <f t="shared" si="14"/>
        <v>2425.1473999999998</v>
      </c>
      <c r="AO9" s="62">
        <f t="shared" si="2"/>
        <v>12569.1261306</v>
      </c>
      <c r="AP9" s="62">
        <f t="shared" si="3"/>
        <v>1855.6091502000002</v>
      </c>
      <c r="AQ9" s="62">
        <f t="shared" si="4"/>
        <v>5485.1339659999994</v>
      </c>
      <c r="AR9" s="62">
        <f t="shared" si="5"/>
        <v>1097.0267931999999</v>
      </c>
      <c r="AS9" s="156"/>
      <c r="AT9" s="49">
        <f t="shared" si="6"/>
        <v>1678.9481999999996</v>
      </c>
      <c r="AU9" s="49">
        <f t="shared" si="7"/>
        <v>9514.0397999999968</v>
      </c>
      <c r="AV9" s="62">
        <f t="shared" ref="AV9:AV11" si="25">Q9*11/100</f>
        <v>13338.310699999998</v>
      </c>
      <c r="AW9" s="62">
        <f t="shared" ref="AW9:AW11" si="26">Q9*3/100</f>
        <v>3637.7210999999998</v>
      </c>
      <c r="AX9" s="49">
        <f t="shared" si="8"/>
        <v>839.47409999999979</v>
      </c>
      <c r="AY9" s="49">
        <f t="shared" si="9"/>
        <v>4757.0198999999984</v>
      </c>
      <c r="AZ9" s="62">
        <f t="shared" si="16"/>
        <v>164</v>
      </c>
      <c r="BA9" s="62">
        <f t="shared" si="17"/>
        <v>11652.833256999998</v>
      </c>
      <c r="BB9" s="62">
        <v>37.21</v>
      </c>
      <c r="BC9" s="26"/>
      <c r="BD9" s="62">
        <f t="shared" si="21"/>
        <v>26816.533749999995</v>
      </c>
      <c r="BE9" s="320">
        <f t="shared" si="22"/>
        <v>94441</v>
      </c>
      <c r="BF9" s="395">
        <f>+Q9/H9*100</f>
        <v>186549.8</v>
      </c>
    </row>
    <row r="10" spans="1:58" s="21" customFormat="1" ht="22.5" customHeight="1" x14ac:dyDescent="0.2">
      <c r="A10" s="189">
        <f t="shared" si="18"/>
        <v>6</v>
      </c>
      <c r="B10" s="201">
        <v>20428710399</v>
      </c>
      <c r="C10" s="202">
        <v>8</v>
      </c>
      <c r="D10" s="163" t="s">
        <v>154</v>
      </c>
      <c r="E10" s="45" t="str">
        <f>+'1º QUINCENA'!H13</f>
        <v>CALIF PROD</v>
      </c>
      <c r="F10" s="47">
        <v>44710</v>
      </c>
      <c r="G10" s="206">
        <f t="shared" si="0"/>
        <v>0</v>
      </c>
      <c r="H10" s="48">
        <f>+'2º QUINCENA'!G13</f>
        <v>65</v>
      </c>
      <c r="I10" s="158"/>
      <c r="J10" s="215">
        <v>14</v>
      </c>
      <c r="K10" s="218">
        <v>30</v>
      </c>
      <c r="L10" s="171"/>
      <c r="M10" s="171"/>
      <c r="N10" s="219">
        <f t="shared" si="23"/>
        <v>30</v>
      </c>
      <c r="O10" s="318">
        <f>+'1º QUINCENA'!AG13</f>
        <v>46427.999999999993</v>
      </c>
      <c r="P10" s="318">
        <f>+'2º QUINCENA'!AE13</f>
        <v>76873.73</v>
      </c>
      <c r="Q10" s="148">
        <f t="shared" si="19"/>
        <v>123301.72999999998</v>
      </c>
      <c r="R10" s="148">
        <f>+'1º QUINCENA'!AH13+'2º QUINCENA'!AF13+'2º QUINCENA'!AG13+'2º QUINCENA'!AH13</f>
        <v>0</v>
      </c>
      <c r="S10" s="261">
        <f t="shared" si="1"/>
        <v>4552.3919999999998</v>
      </c>
      <c r="T10" s="61">
        <f t="shared" si="24"/>
        <v>118749.33799999999</v>
      </c>
      <c r="U10" s="30"/>
      <c r="V10" s="255"/>
      <c r="W10" s="255"/>
      <c r="X10" s="255"/>
      <c r="Y10" s="255"/>
      <c r="Z10" s="255"/>
      <c r="AA10" s="256"/>
      <c r="AB10" s="257"/>
      <c r="AC10" s="256"/>
      <c r="AD10" s="256"/>
      <c r="AE10" s="256"/>
      <c r="AF10" s="256"/>
      <c r="AG10" s="256"/>
      <c r="AH10" s="257"/>
      <c r="AI10" s="172"/>
      <c r="AJ10" s="172"/>
      <c r="AK10" s="246"/>
      <c r="AL10" s="246">
        <f t="shared" si="12"/>
        <v>1849.5259499999997</v>
      </c>
      <c r="AM10" s="246">
        <f t="shared" si="13"/>
        <v>4</v>
      </c>
      <c r="AN10" s="246">
        <f t="shared" si="14"/>
        <v>2466.0345999999995</v>
      </c>
      <c r="AO10" s="62">
        <f t="shared" si="2"/>
        <v>12789.303702599998</v>
      </c>
      <c r="AP10" s="62">
        <f t="shared" si="3"/>
        <v>1888.1144741999999</v>
      </c>
      <c r="AQ10" s="62">
        <f t="shared" si="4"/>
        <v>5581.2188859999997</v>
      </c>
      <c r="AR10" s="62">
        <f t="shared" si="5"/>
        <v>1116.2437771999998</v>
      </c>
      <c r="AS10" s="156"/>
      <c r="AT10" s="49">
        <f t="shared" si="6"/>
        <v>1707.2547230769228</v>
      </c>
      <c r="AU10" s="49">
        <f t="shared" si="7"/>
        <v>9674.4434307692281</v>
      </c>
      <c r="AV10" s="62">
        <f t="shared" si="25"/>
        <v>13563.190299999998</v>
      </c>
      <c r="AW10" s="62">
        <f t="shared" si="26"/>
        <v>3699.0518999999995</v>
      </c>
      <c r="AX10" s="49">
        <f t="shared" si="8"/>
        <v>853.6273615384614</v>
      </c>
      <c r="AY10" s="49">
        <f t="shared" si="9"/>
        <v>4837.2217153846141</v>
      </c>
      <c r="AZ10" s="62">
        <f t="shared" si="16"/>
        <v>164</v>
      </c>
      <c r="BA10" s="62">
        <f t="shared" si="17"/>
        <v>11849.296252999997</v>
      </c>
      <c r="BB10" s="62">
        <v>37.21</v>
      </c>
      <c r="BC10" s="26"/>
      <c r="BD10" s="62">
        <f t="shared" si="21"/>
        <v>27268.651826923069</v>
      </c>
      <c r="BE10" s="320">
        <f t="shared" si="22"/>
        <v>96034</v>
      </c>
      <c r="BF10" s="395">
        <f>+Q10/H10*100</f>
        <v>189694.9692307692</v>
      </c>
    </row>
    <row r="11" spans="1:58" s="21" customFormat="1" ht="22.5" customHeight="1" x14ac:dyDescent="0.2">
      <c r="A11" s="189">
        <f t="shared" si="18"/>
        <v>7</v>
      </c>
      <c r="B11" s="201">
        <v>23290473969</v>
      </c>
      <c r="C11" s="202">
        <v>9</v>
      </c>
      <c r="D11" s="163" t="s">
        <v>155</v>
      </c>
      <c r="E11" s="45" t="str">
        <f>+'1º QUINCENA'!H14</f>
        <v>ESPECIALIZADO ING</v>
      </c>
      <c r="F11" s="47">
        <v>44710</v>
      </c>
      <c r="G11" s="206">
        <f t="shared" si="0"/>
        <v>0</v>
      </c>
      <c r="H11" s="344">
        <f>+'2º QUINCENA'!G14</f>
        <v>100</v>
      </c>
      <c r="I11" s="158"/>
      <c r="J11" s="215">
        <v>14</v>
      </c>
      <c r="K11" s="218">
        <v>30</v>
      </c>
      <c r="L11" s="171"/>
      <c r="M11" s="171"/>
      <c r="N11" s="219">
        <f t="shared" si="23"/>
        <v>30</v>
      </c>
      <c r="O11" s="318">
        <f>+'1º QUINCENA'!AG14</f>
        <v>120669.82113207546</v>
      </c>
      <c r="P11" s="318">
        <f>+'2º QUINCENA'!AE14</f>
        <v>182334.39471698116</v>
      </c>
      <c r="Q11" s="148">
        <f t="shared" si="19"/>
        <v>303004.21584905661</v>
      </c>
      <c r="R11" s="148">
        <f>+'1º QUINCENA'!AH14+'2º QUINCENA'!AF14+'2º QUINCENA'!AG14+'2º QUINCENA'!AH14</f>
        <v>0</v>
      </c>
      <c r="S11" s="261">
        <f t="shared" si="1"/>
        <v>7003.68</v>
      </c>
      <c r="T11" s="61">
        <f t="shared" si="24"/>
        <v>296000.53584905661</v>
      </c>
      <c r="U11" s="30"/>
      <c r="V11" s="255"/>
      <c r="W11" s="255"/>
      <c r="X11" s="255"/>
      <c r="Y11" s="255"/>
      <c r="Z11" s="255"/>
      <c r="AA11" s="256"/>
      <c r="AB11" s="257"/>
      <c r="AC11" s="256"/>
      <c r="AD11" s="256"/>
      <c r="AE11" s="256"/>
      <c r="AF11" s="256"/>
      <c r="AG11" s="256"/>
      <c r="AH11" s="257"/>
      <c r="AI11" s="172"/>
      <c r="AJ11" s="172"/>
      <c r="AK11" s="246"/>
      <c r="AL11" s="246">
        <f t="shared" si="12"/>
        <v>4545.0632377358488</v>
      </c>
      <c r="AM11" s="246">
        <f t="shared" si="13"/>
        <v>4</v>
      </c>
      <c r="AN11" s="246">
        <f t="shared" si="14"/>
        <v>6060.0843169811324</v>
      </c>
      <c r="AO11" s="62">
        <f t="shared" si="2"/>
        <v>31879.257710943395</v>
      </c>
      <c r="AP11" s="62">
        <f t="shared" si="3"/>
        <v>4706.40852</v>
      </c>
      <c r="AQ11" s="62">
        <f t="shared" si="4"/>
        <v>13912.025184905662</v>
      </c>
      <c r="AR11" s="62">
        <f t="shared" si="5"/>
        <v>2782.4050369811321</v>
      </c>
      <c r="AS11" s="156"/>
      <c r="AT11" s="49">
        <f t="shared" si="6"/>
        <v>2727.0379426415088</v>
      </c>
      <c r="AU11" s="49">
        <f t="shared" si="7"/>
        <v>15453.215008301886</v>
      </c>
      <c r="AV11" s="62">
        <f t="shared" si="25"/>
        <v>33330.463743396227</v>
      </c>
      <c r="AW11" s="62">
        <f t="shared" si="26"/>
        <v>9090.1264754716976</v>
      </c>
      <c r="AX11" s="49">
        <f t="shared" si="8"/>
        <v>1363.5189713207544</v>
      </c>
      <c r="AY11" s="49">
        <f t="shared" si="9"/>
        <v>7726.607504150943</v>
      </c>
      <c r="AZ11" s="62">
        <f t="shared" si="16"/>
        <v>164</v>
      </c>
      <c r="BA11" s="62">
        <f t="shared" si="17"/>
        <v>29118.705143094339</v>
      </c>
      <c r="BB11" s="62">
        <v>37.21</v>
      </c>
      <c r="BC11" s="26"/>
      <c r="BD11" s="62">
        <f t="shared" si="21"/>
        <v>62115.864249056598</v>
      </c>
      <c r="BE11" s="320">
        <f t="shared" si="22"/>
        <v>240889</v>
      </c>
      <c r="BF11" s="180">
        <f>+Q11</f>
        <v>303004.21584905661</v>
      </c>
    </row>
    <row r="12" spans="1:58" s="21" customFormat="1" ht="22.5" customHeight="1" x14ac:dyDescent="0.2">
      <c r="A12" s="189">
        <f t="shared" si="18"/>
        <v>8</v>
      </c>
      <c r="B12" s="201">
        <v>20304523825</v>
      </c>
      <c r="C12" s="202">
        <v>10</v>
      </c>
      <c r="D12" s="163" t="s">
        <v>156</v>
      </c>
      <c r="E12" s="45" t="str">
        <f>+'1º QUINCENA'!H15</f>
        <v>CALIF PROD</v>
      </c>
      <c r="F12" s="47">
        <v>44710</v>
      </c>
      <c r="G12" s="206">
        <f t="shared" si="0"/>
        <v>0</v>
      </c>
      <c r="H12" s="48">
        <f>+'2º QUINCENA'!G15</f>
        <v>65</v>
      </c>
      <c r="I12" s="158"/>
      <c r="J12" s="215">
        <v>14</v>
      </c>
      <c r="K12" s="218">
        <v>30</v>
      </c>
      <c r="L12" s="171"/>
      <c r="M12" s="171"/>
      <c r="N12" s="219">
        <f t="shared" si="23"/>
        <v>30</v>
      </c>
      <c r="O12" s="318">
        <f>+'1º QUINCENA'!AG15</f>
        <v>55653.249999999993</v>
      </c>
      <c r="P12" s="318">
        <f>+'2º QUINCENA'!AE15</f>
        <v>77309.229999999981</v>
      </c>
      <c r="Q12" s="148">
        <f t="shared" si="19"/>
        <v>132962.47999999998</v>
      </c>
      <c r="R12" s="148">
        <f>+'1º QUINCENA'!AH15+'2º QUINCENA'!AF15+'2º QUINCENA'!AG15+'2º QUINCENA'!AH15</f>
        <v>0</v>
      </c>
      <c r="S12" s="261">
        <f t="shared" si="1"/>
        <v>4552.3919999999998</v>
      </c>
      <c r="T12" s="61">
        <f t="shared" si="24"/>
        <v>128410.08799999999</v>
      </c>
      <c r="U12" s="30"/>
      <c r="V12" s="255"/>
      <c r="W12" s="255"/>
      <c r="X12" s="255"/>
      <c r="Y12" s="255"/>
      <c r="Z12" s="255"/>
      <c r="AA12" s="256"/>
      <c r="AB12" s="257"/>
      <c r="AC12" s="256"/>
      <c r="AD12" s="256"/>
      <c r="AE12" s="256"/>
      <c r="AF12" s="256"/>
      <c r="AG12" s="256"/>
      <c r="AH12" s="257"/>
      <c r="AI12" s="172"/>
      <c r="AJ12" s="172"/>
      <c r="AK12" s="246"/>
      <c r="AL12" s="246">
        <f t="shared" si="12"/>
        <v>1994.4371999999996</v>
      </c>
      <c r="AM12" s="246">
        <f t="shared" si="13"/>
        <v>4</v>
      </c>
      <c r="AN12" s="246">
        <f t="shared" si="14"/>
        <v>2659.2495999999996</v>
      </c>
      <c r="AO12" s="62">
        <f t="shared" ref="AO12:AO22" si="27">(T12)*(10.77)/100</f>
        <v>13829.766477599998</v>
      </c>
      <c r="AP12" s="62">
        <f t="shared" ref="AP12:AP22" si="28">T12*1.59/100</f>
        <v>2041.7203991999997</v>
      </c>
      <c r="AQ12" s="62">
        <f t="shared" ref="AQ12:AQ22" si="29">T12*4.7/100</f>
        <v>6035.274136</v>
      </c>
      <c r="AR12" s="62">
        <f t="shared" ref="AR12:AR22" si="30">T12*0.94/100</f>
        <v>1207.0548271999999</v>
      </c>
      <c r="AS12" s="156"/>
      <c r="AT12" s="49">
        <f t="shared" ref="AT12:AT22" si="31">IF((Q12*100/H12)&lt;=2400,((Q12*100/H12)*6/100)*10/100,((Q12*100/H12)*6/100)*15/100)</f>
        <v>1841.0189538461536</v>
      </c>
      <c r="AU12" s="49">
        <f t="shared" ref="AU12:AU22" si="32">IF((Q12*100/H12)&lt;=2400,((Q12*100/H12)*6/100)*90/100,((Q12*100/H12)*6/100)*85/100)</f>
        <v>10432.440738461539</v>
      </c>
      <c r="AV12" s="62">
        <f t="shared" ref="AV12:AV22" si="33">Q12*11/100</f>
        <v>14625.872799999997</v>
      </c>
      <c r="AW12" s="62">
        <f t="shared" ref="AW12:AW22" si="34">Q12*3/100</f>
        <v>3988.8743999999992</v>
      </c>
      <c r="AX12" s="49">
        <f t="shared" ref="AX12:AX22" si="35">IF((Q12*100/H12)&lt;=2400,((Q12*100/H12)*3/100)*10/100,((Q12*100/H12)*3/100)*15/100)</f>
        <v>920.50947692307682</v>
      </c>
      <c r="AY12" s="49">
        <f t="shared" ref="AY12:AY22" si="36">IF((Q12*100/H12)&lt;=2400,((Q12*100/H12)*3/100)*90/100,((Q12*100/H12)*3/100)*85/100)</f>
        <v>5216.2203692307694</v>
      </c>
      <c r="AZ12" s="62">
        <f t="shared" si="16"/>
        <v>164</v>
      </c>
      <c r="BA12" s="62">
        <f t="shared" si="17"/>
        <v>12777.694327999998</v>
      </c>
      <c r="BB12" s="62">
        <v>37.21</v>
      </c>
      <c r="BC12" s="26"/>
      <c r="BD12" s="62">
        <f t="shared" si="21"/>
        <v>29405.163846153846</v>
      </c>
      <c r="BE12" s="320">
        <f t="shared" si="22"/>
        <v>103558</v>
      </c>
      <c r="BF12" s="395">
        <f>+Q12/H12*100</f>
        <v>204557.66153846151</v>
      </c>
    </row>
    <row r="13" spans="1:58" s="21" customFormat="1" ht="22.5" customHeight="1" x14ac:dyDescent="0.2">
      <c r="A13" s="189">
        <f t="shared" si="18"/>
        <v>9</v>
      </c>
      <c r="B13" s="201">
        <v>20322222719</v>
      </c>
      <c r="C13" s="202">
        <v>11</v>
      </c>
      <c r="D13" s="163" t="s">
        <v>157</v>
      </c>
      <c r="E13" s="45" t="str">
        <f>+'1º QUINCENA'!H16</f>
        <v>PEON PRACTICO PROD</v>
      </c>
      <c r="F13" s="47">
        <v>44710</v>
      </c>
      <c r="G13" s="206">
        <f t="shared" si="0"/>
        <v>0</v>
      </c>
      <c r="H13" s="48">
        <f>+'2º QUINCENA'!G16</f>
        <v>65</v>
      </c>
      <c r="I13" s="158"/>
      <c r="J13" s="215">
        <v>14</v>
      </c>
      <c r="K13" s="218">
        <v>30</v>
      </c>
      <c r="L13" s="171"/>
      <c r="M13" s="171">
        <v>1</v>
      </c>
      <c r="N13" s="219">
        <f t="shared" si="23"/>
        <v>29</v>
      </c>
      <c r="O13" s="318">
        <f>+'1º QUINCENA'!AG16</f>
        <v>50761.329999999994</v>
      </c>
      <c r="P13" s="318">
        <f>+'2º QUINCENA'!AE16</f>
        <v>64206.020000000004</v>
      </c>
      <c r="Q13" s="148">
        <f t="shared" si="19"/>
        <v>114967.35</v>
      </c>
      <c r="R13" s="148">
        <f>+'1º QUINCENA'!AH16+'2º QUINCENA'!AF16+'2º QUINCENA'!AG16+'2º QUINCENA'!AH16</f>
        <v>0</v>
      </c>
      <c r="S13" s="261">
        <f t="shared" si="1"/>
        <v>4400.6455999999998</v>
      </c>
      <c r="T13" s="61">
        <f t="shared" si="24"/>
        <v>110566.7044</v>
      </c>
      <c r="U13" s="30"/>
      <c r="V13" s="255"/>
      <c r="W13" s="255"/>
      <c r="X13" s="255"/>
      <c r="Y13" s="255"/>
      <c r="Z13" s="255"/>
      <c r="AA13" s="256"/>
      <c r="AB13" s="257"/>
      <c r="AC13" s="256"/>
      <c r="AD13" s="256"/>
      <c r="AE13" s="256"/>
      <c r="AF13" s="256"/>
      <c r="AG13" s="256"/>
      <c r="AH13" s="257"/>
      <c r="AI13" s="172"/>
      <c r="AJ13" s="172"/>
      <c r="AK13" s="246"/>
      <c r="AL13" s="246">
        <f t="shared" si="12"/>
        <v>1724.51025</v>
      </c>
      <c r="AM13" s="246">
        <f t="shared" si="13"/>
        <v>4</v>
      </c>
      <c r="AN13" s="246">
        <f t="shared" si="14"/>
        <v>2299.3470000000002</v>
      </c>
      <c r="AO13" s="62">
        <f t="shared" si="27"/>
        <v>11908.034063879999</v>
      </c>
      <c r="AP13" s="62">
        <f t="shared" si="28"/>
        <v>1758.0105999600003</v>
      </c>
      <c r="AQ13" s="62">
        <f t="shared" si="29"/>
        <v>5196.6351068000004</v>
      </c>
      <c r="AR13" s="62">
        <f t="shared" si="30"/>
        <v>1039.3270213599999</v>
      </c>
      <c r="AS13" s="156"/>
      <c r="AT13" s="49">
        <f t="shared" si="31"/>
        <v>1591.8556153846157</v>
      </c>
      <c r="AU13" s="49">
        <f t="shared" si="32"/>
        <v>9020.515153846156</v>
      </c>
      <c r="AV13" s="62">
        <f t="shared" si="33"/>
        <v>12646.408500000001</v>
      </c>
      <c r="AW13" s="62">
        <f t="shared" si="34"/>
        <v>3449.0205000000005</v>
      </c>
      <c r="AX13" s="49">
        <f t="shared" si="35"/>
        <v>795.92780769230785</v>
      </c>
      <c r="AY13" s="49">
        <f t="shared" si="36"/>
        <v>4510.257576923078</v>
      </c>
      <c r="AZ13" s="62">
        <f t="shared" si="16"/>
        <v>164</v>
      </c>
      <c r="BA13" s="62">
        <f t="shared" si="17"/>
        <v>11048.362335000002</v>
      </c>
      <c r="BB13" s="62">
        <v>37.21</v>
      </c>
      <c r="BC13" s="26"/>
      <c r="BD13" s="62">
        <f t="shared" si="21"/>
        <v>25425.471634615391</v>
      </c>
      <c r="BE13" s="320">
        <f t="shared" si="22"/>
        <v>89542</v>
      </c>
      <c r="BF13" s="395">
        <f>+Q13/H13*100</f>
        <v>176872.84615384619</v>
      </c>
    </row>
    <row r="14" spans="1:58" s="21" customFormat="1" ht="22.5" customHeight="1" x14ac:dyDescent="0.2">
      <c r="A14" s="189">
        <f t="shared" si="18"/>
        <v>10</v>
      </c>
      <c r="B14" s="201">
        <v>20425599829</v>
      </c>
      <c r="C14" s="202">
        <v>12</v>
      </c>
      <c r="D14" s="163" t="s">
        <v>158</v>
      </c>
      <c r="E14" s="45" t="str">
        <f>+'1º QUINCENA'!H17</f>
        <v>CALIF PROD</v>
      </c>
      <c r="F14" s="47">
        <v>44710</v>
      </c>
      <c r="G14" s="206">
        <f t="shared" si="0"/>
        <v>0</v>
      </c>
      <c r="H14" s="48">
        <f>+'2º QUINCENA'!G17</f>
        <v>65</v>
      </c>
      <c r="I14" s="158"/>
      <c r="J14" s="215">
        <v>14</v>
      </c>
      <c r="K14" s="218">
        <v>30</v>
      </c>
      <c r="L14" s="171"/>
      <c r="M14" s="171"/>
      <c r="N14" s="219">
        <f t="shared" si="23"/>
        <v>30</v>
      </c>
      <c r="O14" s="318">
        <f>+'1º QUINCENA'!AG17</f>
        <v>55653.249999999993</v>
      </c>
      <c r="P14" s="318">
        <f>+'2º QUINCENA'!AE17</f>
        <v>77091.479999999981</v>
      </c>
      <c r="Q14" s="148">
        <f t="shared" si="19"/>
        <v>132744.72999999998</v>
      </c>
      <c r="R14" s="148">
        <f>+'1º QUINCENA'!AH17+'2º QUINCENA'!AF17+'2º QUINCENA'!AG17+'2º QUINCENA'!AH17</f>
        <v>0</v>
      </c>
      <c r="S14" s="261">
        <f t="shared" si="1"/>
        <v>4552.3919999999998</v>
      </c>
      <c r="T14" s="61">
        <f t="shared" si="24"/>
        <v>128192.33799999999</v>
      </c>
      <c r="U14" s="30"/>
      <c r="V14" s="255"/>
      <c r="W14" s="255"/>
      <c r="X14" s="255"/>
      <c r="Y14" s="255"/>
      <c r="Z14" s="255"/>
      <c r="AA14" s="256"/>
      <c r="AB14" s="257"/>
      <c r="AC14" s="256"/>
      <c r="AD14" s="256"/>
      <c r="AE14" s="256"/>
      <c r="AF14" s="256"/>
      <c r="AG14" s="256"/>
      <c r="AH14" s="257"/>
      <c r="AI14" s="172"/>
      <c r="AJ14" s="172"/>
      <c r="AK14" s="246"/>
      <c r="AL14" s="246">
        <f t="shared" si="12"/>
        <v>1991.1709499999997</v>
      </c>
      <c r="AM14" s="246">
        <f t="shared" si="13"/>
        <v>4</v>
      </c>
      <c r="AN14" s="246">
        <f t="shared" si="14"/>
        <v>2654.8945999999996</v>
      </c>
      <c r="AO14" s="62">
        <f t="shared" si="27"/>
        <v>13806.314802599998</v>
      </c>
      <c r="AP14" s="62">
        <f t="shared" si="28"/>
        <v>2038.2581742</v>
      </c>
      <c r="AQ14" s="62">
        <f t="shared" si="29"/>
        <v>6025.0398859999996</v>
      </c>
      <c r="AR14" s="62">
        <f t="shared" si="30"/>
        <v>1205.0079771999999</v>
      </c>
      <c r="AS14" s="156"/>
      <c r="AT14" s="49">
        <f t="shared" si="31"/>
        <v>1838.0039538461538</v>
      </c>
      <c r="AU14" s="49">
        <f t="shared" si="32"/>
        <v>10415.355738461538</v>
      </c>
      <c r="AV14" s="62">
        <f t="shared" si="33"/>
        <v>14601.920299999998</v>
      </c>
      <c r="AW14" s="62">
        <f t="shared" si="34"/>
        <v>3982.3418999999994</v>
      </c>
      <c r="AX14" s="49">
        <f t="shared" si="35"/>
        <v>919.00197692307688</v>
      </c>
      <c r="AY14" s="49">
        <f t="shared" si="36"/>
        <v>5207.6778692307689</v>
      </c>
      <c r="AZ14" s="62">
        <f t="shared" si="16"/>
        <v>164</v>
      </c>
      <c r="BA14" s="62">
        <f t="shared" si="17"/>
        <v>12756.768552999996</v>
      </c>
      <c r="BB14" s="62">
        <v>37.21</v>
      </c>
      <c r="BC14" s="26"/>
      <c r="BD14" s="62">
        <f t="shared" si="21"/>
        <v>29357.007596153846</v>
      </c>
      <c r="BE14" s="320">
        <f t="shared" si="22"/>
        <v>103388</v>
      </c>
      <c r="BF14" s="395">
        <f>+Q14/H14*100</f>
        <v>204222.66153846151</v>
      </c>
    </row>
    <row r="15" spans="1:58" s="21" customFormat="1" ht="22.5" customHeight="1" x14ac:dyDescent="0.2">
      <c r="A15" s="189">
        <f t="shared" si="18"/>
        <v>11</v>
      </c>
      <c r="B15" s="201">
        <v>20418603136</v>
      </c>
      <c r="C15" s="202">
        <v>13</v>
      </c>
      <c r="D15" s="163" t="s">
        <v>159</v>
      </c>
      <c r="E15" s="45" t="str">
        <f>+'1º QUINCENA'!H18</f>
        <v>CALIF PROD</v>
      </c>
      <c r="F15" s="47">
        <v>44710</v>
      </c>
      <c r="G15" s="206">
        <f t="shared" si="0"/>
        <v>0</v>
      </c>
      <c r="H15" s="48">
        <f>+'2º QUINCENA'!G18</f>
        <v>65</v>
      </c>
      <c r="I15" s="158"/>
      <c r="J15" s="189">
        <v>14</v>
      </c>
      <c r="K15" s="218">
        <v>30</v>
      </c>
      <c r="L15" s="171"/>
      <c r="M15" s="171"/>
      <c r="N15" s="219">
        <f t="shared" si="23"/>
        <v>30</v>
      </c>
      <c r="O15" s="318">
        <f>+'1º QUINCENA'!AG18</f>
        <v>55653.249999999993</v>
      </c>
      <c r="P15" s="318">
        <f>+'2º QUINCENA'!AE18</f>
        <v>77482.779999999984</v>
      </c>
      <c r="Q15" s="148">
        <f t="shared" si="19"/>
        <v>133136.02999999997</v>
      </c>
      <c r="R15" s="148">
        <f>+'1º QUINCENA'!AH18+'2º QUINCENA'!AF18+'2º QUINCENA'!AG18+'2º QUINCENA'!AH18</f>
        <v>0</v>
      </c>
      <c r="S15" s="261">
        <f t="shared" si="1"/>
        <v>4552.3919999999998</v>
      </c>
      <c r="T15" s="61">
        <f t="shared" si="24"/>
        <v>128583.63799999998</v>
      </c>
      <c r="U15" s="30"/>
      <c r="V15" s="255"/>
      <c r="W15" s="255"/>
      <c r="X15" s="255"/>
      <c r="Y15" s="255"/>
      <c r="Z15" s="255"/>
      <c r="AA15" s="256"/>
      <c r="AB15" s="257"/>
      <c r="AC15" s="256"/>
      <c r="AD15" s="256"/>
      <c r="AE15" s="256"/>
      <c r="AF15" s="256"/>
      <c r="AG15" s="256"/>
      <c r="AH15" s="257"/>
      <c r="AI15" s="172"/>
      <c r="AJ15" s="172"/>
      <c r="AK15" s="246"/>
      <c r="AL15" s="246">
        <f t="shared" si="12"/>
        <v>1997.0404499999995</v>
      </c>
      <c r="AM15" s="246">
        <f t="shared" si="13"/>
        <v>4</v>
      </c>
      <c r="AN15" s="246">
        <f t="shared" si="14"/>
        <v>2662.7205999999996</v>
      </c>
      <c r="AO15" s="62">
        <f t="shared" si="27"/>
        <v>13848.457812599996</v>
      </c>
      <c r="AP15" s="62">
        <f t="shared" si="28"/>
        <v>2044.4798441999997</v>
      </c>
      <c r="AQ15" s="62">
        <f t="shared" si="29"/>
        <v>6043.4309859999994</v>
      </c>
      <c r="AR15" s="62">
        <f t="shared" si="30"/>
        <v>1208.6861971999997</v>
      </c>
      <c r="AS15" s="156"/>
      <c r="AT15" s="49">
        <f t="shared" si="31"/>
        <v>1843.4219538461537</v>
      </c>
      <c r="AU15" s="49">
        <f t="shared" si="32"/>
        <v>10446.057738461537</v>
      </c>
      <c r="AV15" s="62">
        <f t="shared" si="33"/>
        <v>14644.963299999996</v>
      </c>
      <c r="AW15" s="62">
        <f t="shared" si="34"/>
        <v>3994.080899999999</v>
      </c>
      <c r="AX15" s="49">
        <f t="shared" si="35"/>
        <v>921.71097692307683</v>
      </c>
      <c r="AY15" s="49">
        <f t="shared" si="36"/>
        <v>5223.0288692307686</v>
      </c>
      <c r="AZ15" s="62">
        <f t="shared" si="16"/>
        <v>164</v>
      </c>
      <c r="BA15" s="62">
        <f t="shared" si="17"/>
        <v>12794.372482999996</v>
      </c>
      <c r="BB15" s="62">
        <v>37.21</v>
      </c>
      <c r="BC15" s="26"/>
      <c r="BD15" s="62">
        <f t="shared" si="21"/>
        <v>29443.545096153844</v>
      </c>
      <c r="BE15" s="320">
        <f t="shared" si="22"/>
        <v>103693</v>
      </c>
      <c r="BF15" s="395">
        <f>+Q15/H15*100</f>
        <v>204824.66153846149</v>
      </c>
    </row>
    <row r="16" spans="1:58" s="21" customFormat="1" ht="22.5" customHeight="1" x14ac:dyDescent="0.2">
      <c r="A16" s="189">
        <f t="shared" si="18"/>
        <v>12</v>
      </c>
      <c r="B16" s="201">
        <v>20320535248</v>
      </c>
      <c r="C16" s="202">
        <v>14</v>
      </c>
      <c r="D16" s="163" t="s">
        <v>160</v>
      </c>
      <c r="E16" s="45" t="str">
        <f>+'1º QUINCENA'!H19</f>
        <v>CALIF PROD</v>
      </c>
      <c r="F16" s="47">
        <v>44710</v>
      </c>
      <c r="G16" s="206">
        <f t="shared" si="0"/>
        <v>0</v>
      </c>
      <c r="H16" s="344">
        <f>+'2º QUINCENA'!G19</f>
        <v>100</v>
      </c>
      <c r="I16" s="158"/>
      <c r="J16" s="189">
        <v>14</v>
      </c>
      <c r="K16" s="218">
        <v>30</v>
      </c>
      <c r="L16" s="171"/>
      <c r="M16" s="171"/>
      <c r="N16" s="219">
        <f t="shared" si="23"/>
        <v>30</v>
      </c>
      <c r="O16" s="318">
        <f>+'1º QUINCENA'!AG19</f>
        <v>82822.8</v>
      </c>
      <c r="P16" s="318">
        <f>+'2º QUINCENA'!AE19</f>
        <v>114419.62000000002</v>
      </c>
      <c r="Q16" s="148">
        <f t="shared" si="19"/>
        <v>197242.42000000004</v>
      </c>
      <c r="R16" s="148">
        <f>+'1º QUINCENA'!AH19+'2º QUINCENA'!AF19+'2º QUINCENA'!AG19+'2º QUINCENA'!AH19</f>
        <v>0</v>
      </c>
      <c r="S16" s="261">
        <f t="shared" si="1"/>
        <v>7003.68</v>
      </c>
      <c r="T16" s="61">
        <f t="shared" si="24"/>
        <v>190238.74000000005</v>
      </c>
      <c r="U16" s="30"/>
      <c r="V16" s="255"/>
      <c r="W16" s="255"/>
      <c r="X16" s="255"/>
      <c r="Y16" s="255"/>
      <c r="Z16" s="255"/>
      <c r="AA16" s="256"/>
      <c r="AB16" s="257"/>
      <c r="AC16" s="256"/>
      <c r="AD16" s="256"/>
      <c r="AE16" s="256"/>
      <c r="AF16" s="256"/>
      <c r="AG16" s="256"/>
      <c r="AH16" s="257"/>
      <c r="AI16" s="172"/>
      <c r="AJ16" s="172"/>
      <c r="AK16" s="246"/>
      <c r="AL16" s="246">
        <f t="shared" si="12"/>
        <v>2958.6363000000006</v>
      </c>
      <c r="AM16" s="246">
        <f t="shared" si="13"/>
        <v>4</v>
      </c>
      <c r="AN16" s="246">
        <f t="shared" si="14"/>
        <v>3944.8484000000008</v>
      </c>
      <c r="AO16" s="62">
        <f t="shared" si="27"/>
        <v>20488.712298000006</v>
      </c>
      <c r="AP16" s="62">
        <f t="shared" si="28"/>
        <v>3024.795966000001</v>
      </c>
      <c r="AQ16" s="62">
        <f t="shared" si="29"/>
        <v>8941.2207800000015</v>
      </c>
      <c r="AR16" s="62">
        <f t="shared" si="30"/>
        <v>1788.2441560000004</v>
      </c>
      <c r="AS16" s="156"/>
      <c r="AT16" s="49">
        <f t="shared" si="31"/>
        <v>1775.1817800000003</v>
      </c>
      <c r="AU16" s="49">
        <f t="shared" si="32"/>
        <v>10059.363420000001</v>
      </c>
      <c r="AV16" s="62">
        <f t="shared" si="33"/>
        <v>21696.666200000007</v>
      </c>
      <c r="AW16" s="62">
        <f t="shared" si="34"/>
        <v>5917.2726000000011</v>
      </c>
      <c r="AX16" s="49">
        <f t="shared" si="35"/>
        <v>887.59089000000017</v>
      </c>
      <c r="AY16" s="49">
        <f t="shared" si="36"/>
        <v>5029.6817100000007</v>
      </c>
      <c r="AZ16" s="62">
        <f t="shared" si="16"/>
        <v>164</v>
      </c>
      <c r="BA16" s="62">
        <f t="shared" si="17"/>
        <v>18954.996562000004</v>
      </c>
      <c r="BB16" s="62">
        <v>37.21</v>
      </c>
      <c r="BC16" s="26"/>
      <c r="BD16" s="62">
        <f t="shared" si="21"/>
        <v>40434.696100000008</v>
      </c>
      <c r="BE16" s="320">
        <f t="shared" si="22"/>
        <v>156808</v>
      </c>
      <c r="BF16" s="180">
        <f>+Q16</f>
        <v>197242.42000000004</v>
      </c>
    </row>
    <row r="17" spans="1:58" s="21" customFormat="1" ht="22.5" customHeight="1" x14ac:dyDescent="0.2">
      <c r="A17" s="189">
        <f t="shared" si="18"/>
        <v>13</v>
      </c>
      <c r="B17" s="201">
        <v>20403630382</v>
      </c>
      <c r="C17" s="202">
        <v>15</v>
      </c>
      <c r="D17" s="163" t="s">
        <v>161</v>
      </c>
      <c r="E17" s="45" t="str">
        <f>+'1º QUINCENA'!H20</f>
        <v>PEON PRACTICO PROD</v>
      </c>
      <c r="F17" s="47">
        <v>44710</v>
      </c>
      <c r="G17" s="206">
        <f t="shared" si="0"/>
        <v>0</v>
      </c>
      <c r="H17" s="48">
        <f>+'2º QUINCENA'!G20</f>
        <v>65</v>
      </c>
      <c r="I17" s="158"/>
      <c r="J17" s="189">
        <v>14</v>
      </c>
      <c r="K17" s="218">
        <v>30</v>
      </c>
      <c r="L17" s="171"/>
      <c r="M17" s="171"/>
      <c r="N17" s="219">
        <f t="shared" si="23"/>
        <v>30</v>
      </c>
      <c r="O17" s="318">
        <f>+'1º QUINCENA'!AG20</f>
        <v>50761.329999999994</v>
      </c>
      <c r="P17" s="318">
        <f>+'2º QUINCENA'!AE20</f>
        <v>73351.47</v>
      </c>
      <c r="Q17" s="148">
        <f t="shared" si="19"/>
        <v>124112.79999999999</v>
      </c>
      <c r="R17" s="148">
        <f>+'1º QUINCENA'!AH20+'2º QUINCENA'!AF20+'2º QUINCENA'!AG20+'2º QUINCENA'!AH20</f>
        <v>0</v>
      </c>
      <c r="S17" s="261">
        <f t="shared" si="1"/>
        <v>4552.3919999999998</v>
      </c>
      <c r="T17" s="61">
        <f t="shared" si="24"/>
        <v>119560.408</v>
      </c>
      <c r="U17" s="30"/>
      <c r="V17" s="255"/>
      <c r="W17" s="255"/>
      <c r="X17" s="255"/>
      <c r="Y17" s="255"/>
      <c r="Z17" s="255"/>
      <c r="AA17" s="256"/>
      <c r="AB17" s="257"/>
      <c r="AC17" s="256"/>
      <c r="AD17" s="256"/>
      <c r="AE17" s="256"/>
      <c r="AF17" s="256"/>
      <c r="AG17" s="256"/>
      <c r="AH17" s="257"/>
      <c r="AI17" s="172"/>
      <c r="AJ17" s="172"/>
      <c r="AK17" s="246"/>
      <c r="AL17" s="246">
        <f t="shared" si="12"/>
        <v>1861.6919999999998</v>
      </c>
      <c r="AM17" s="246">
        <f t="shared" si="13"/>
        <v>4</v>
      </c>
      <c r="AN17" s="246">
        <f t="shared" si="14"/>
        <v>2482.2559999999999</v>
      </c>
      <c r="AO17" s="62">
        <f t="shared" si="27"/>
        <v>12876.655941599998</v>
      </c>
      <c r="AP17" s="62">
        <f t="shared" si="28"/>
        <v>1901.0104871999999</v>
      </c>
      <c r="AQ17" s="62">
        <f t="shared" si="29"/>
        <v>5619.3391760000004</v>
      </c>
      <c r="AR17" s="62">
        <f t="shared" si="30"/>
        <v>1123.8678351999997</v>
      </c>
      <c r="AS17" s="156"/>
      <c r="AT17" s="49">
        <f t="shared" si="31"/>
        <v>1718.4849230769223</v>
      </c>
      <c r="AU17" s="49">
        <f t="shared" si="32"/>
        <v>9738.0812307692267</v>
      </c>
      <c r="AV17" s="62">
        <f t="shared" si="33"/>
        <v>13652.407999999998</v>
      </c>
      <c r="AW17" s="62">
        <f t="shared" si="34"/>
        <v>3723.3839999999996</v>
      </c>
      <c r="AX17" s="49">
        <f t="shared" si="35"/>
        <v>859.24246153846116</v>
      </c>
      <c r="AY17" s="49">
        <f t="shared" si="36"/>
        <v>4869.0406153846134</v>
      </c>
      <c r="AZ17" s="62">
        <f t="shared" si="16"/>
        <v>164</v>
      </c>
      <c r="BA17" s="62">
        <f t="shared" si="17"/>
        <v>11927.24008</v>
      </c>
      <c r="BB17" s="62">
        <v>37.21</v>
      </c>
      <c r="BC17" s="26"/>
      <c r="BD17" s="62">
        <f t="shared" si="21"/>
        <v>27448.023076923073</v>
      </c>
      <c r="BE17" s="320">
        <f t="shared" si="22"/>
        <v>96665</v>
      </c>
      <c r="BF17" s="395">
        <f t="shared" ref="BF17:BF26" si="37">+Q17/H17*100</f>
        <v>190942.76923076919</v>
      </c>
    </row>
    <row r="18" spans="1:58" s="21" customFormat="1" ht="22.5" customHeight="1" x14ac:dyDescent="0.2">
      <c r="A18" s="189">
        <f t="shared" si="18"/>
        <v>14</v>
      </c>
      <c r="B18" s="201">
        <v>20410868874</v>
      </c>
      <c r="C18" s="202">
        <v>16</v>
      </c>
      <c r="D18" s="163" t="s">
        <v>162</v>
      </c>
      <c r="E18" s="45" t="str">
        <f>+'1º QUINCENA'!H21</f>
        <v>PEON PRACTICO PROD</v>
      </c>
      <c r="F18" s="47">
        <v>44710</v>
      </c>
      <c r="G18" s="206">
        <f t="shared" si="0"/>
        <v>0</v>
      </c>
      <c r="H18" s="48">
        <f>+'2º QUINCENA'!G21</f>
        <v>65</v>
      </c>
      <c r="I18" s="158"/>
      <c r="J18" s="189">
        <v>14</v>
      </c>
      <c r="K18" s="218">
        <v>30</v>
      </c>
      <c r="L18" s="171"/>
      <c r="M18" s="171"/>
      <c r="N18" s="219">
        <f t="shared" si="23"/>
        <v>30</v>
      </c>
      <c r="O18" s="318">
        <f>+'1º QUINCENA'!AG21</f>
        <v>50761.329999999994</v>
      </c>
      <c r="P18" s="318">
        <f>+'2º QUINCENA'!AE21</f>
        <v>70542.820000000007</v>
      </c>
      <c r="Q18" s="148">
        <f t="shared" si="19"/>
        <v>121304.15</v>
      </c>
      <c r="R18" s="148">
        <f>+'1º QUINCENA'!AH21+'2º QUINCENA'!AF21+'2º QUINCENA'!AG21+'2º QUINCENA'!AH21</f>
        <v>0</v>
      </c>
      <c r="S18" s="261">
        <f t="shared" si="1"/>
        <v>4552.3919999999998</v>
      </c>
      <c r="T18" s="61">
        <f t="shared" si="24"/>
        <v>116751.758</v>
      </c>
      <c r="U18" s="30"/>
      <c r="V18" s="255"/>
      <c r="W18" s="255"/>
      <c r="X18" s="255"/>
      <c r="Y18" s="255"/>
      <c r="Z18" s="255"/>
      <c r="AA18" s="256"/>
      <c r="AB18" s="257"/>
      <c r="AC18" s="256"/>
      <c r="AD18" s="256"/>
      <c r="AE18" s="256"/>
      <c r="AF18" s="256"/>
      <c r="AG18" s="256"/>
      <c r="AH18" s="257"/>
      <c r="AI18" s="172"/>
      <c r="AJ18" s="172"/>
      <c r="AK18" s="246"/>
      <c r="AL18" s="246">
        <f t="shared" si="12"/>
        <v>1819.5622499999999</v>
      </c>
      <c r="AM18" s="246">
        <f t="shared" si="13"/>
        <v>4</v>
      </c>
      <c r="AN18" s="246">
        <f t="shared" si="14"/>
        <v>2426.0830000000001</v>
      </c>
      <c r="AO18" s="62">
        <f t="shared" si="27"/>
        <v>12574.164336599999</v>
      </c>
      <c r="AP18" s="62">
        <f t="shared" si="28"/>
        <v>1856.3529521999999</v>
      </c>
      <c r="AQ18" s="62">
        <f t="shared" si="29"/>
        <v>5487.3326260000003</v>
      </c>
      <c r="AR18" s="62">
        <f t="shared" si="30"/>
        <v>1097.4665252</v>
      </c>
      <c r="AS18" s="156"/>
      <c r="AT18" s="49">
        <f t="shared" si="31"/>
        <v>1679.5959230769231</v>
      </c>
      <c r="AU18" s="49">
        <f t="shared" si="32"/>
        <v>9517.7102307692294</v>
      </c>
      <c r="AV18" s="62">
        <f t="shared" si="33"/>
        <v>13343.456499999998</v>
      </c>
      <c r="AW18" s="62">
        <f t="shared" si="34"/>
        <v>3639.1244999999994</v>
      </c>
      <c r="AX18" s="49">
        <f t="shared" si="35"/>
        <v>839.79796153846155</v>
      </c>
      <c r="AY18" s="49">
        <f t="shared" si="36"/>
        <v>4758.8551153846147</v>
      </c>
      <c r="AZ18" s="62">
        <f t="shared" si="16"/>
        <v>164</v>
      </c>
      <c r="BA18" s="62">
        <f t="shared" si="17"/>
        <v>11657.328814999999</v>
      </c>
      <c r="BB18" s="62">
        <v>37.21</v>
      </c>
      <c r="BC18" s="26"/>
      <c r="BD18" s="62">
        <f t="shared" si="21"/>
        <v>26826.87932692307</v>
      </c>
      <c r="BE18" s="320">
        <f t="shared" si="22"/>
        <v>94478</v>
      </c>
      <c r="BF18" s="395">
        <f t="shared" si="37"/>
        <v>186621.76923076922</v>
      </c>
    </row>
    <row r="19" spans="1:58" s="21" customFormat="1" ht="22.5" customHeight="1" x14ac:dyDescent="0.2">
      <c r="A19" s="189">
        <f t="shared" si="18"/>
        <v>15</v>
      </c>
      <c r="B19" s="201">
        <v>23401204679</v>
      </c>
      <c r="C19" s="202">
        <v>17</v>
      </c>
      <c r="D19" s="163" t="s">
        <v>163</v>
      </c>
      <c r="E19" s="45" t="str">
        <f>+'1º QUINCENA'!H22</f>
        <v>PEON PRACTICO PROD</v>
      </c>
      <c r="F19" s="47">
        <v>44710</v>
      </c>
      <c r="G19" s="206">
        <f t="shared" si="0"/>
        <v>0</v>
      </c>
      <c r="H19" s="48">
        <f>+'2º QUINCENA'!G22</f>
        <v>65</v>
      </c>
      <c r="I19" s="158"/>
      <c r="J19" s="189">
        <v>14</v>
      </c>
      <c r="K19" s="218">
        <v>30</v>
      </c>
      <c r="L19" s="171"/>
      <c r="M19" s="171">
        <v>1</v>
      </c>
      <c r="N19" s="219">
        <f t="shared" si="23"/>
        <v>29</v>
      </c>
      <c r="O19" s="318">
        <f>+'1º QUINCENA'!AG22</f>
        <v>50761.329999999994</v>
      </c>
      <c r="P19" s="318">
        <f>+'2º QUINCENA'!AE22</f>
        <v>67332.52</v>
      </c>
      <c r="Q19" s="148">
        <f t="shared" si="19"/>
        <v>118093.85</v>
      </c>
      <c r="R19" s="148">
        <f>+'1º QUINCENA'!AH22+'2º QUINCENA'!AF22+'2º QUINCENA'!AG22+'2º QUINCENA'!AH22</f>
        <v>0</v>
      </c>
      <c r="S19" s="261">
        <f t="shared" si="1"/>
        <v>4400.6455999999998</v>
      </c>
      <c r="T19" s="61">
        <f t="shared" si="24"/>
        <v>113693.2044</v>
      </c>
      <c r="U19" s="30"/>
      <c r="V19" s="255"/>
      <c r="W19" s="255"/>
      <c r="X19" s="255"/>
      <c r="Y19" s="255"/>
      <c r="Z19" s="255"/>
      <c r="AA19" s="256"/>
      <c r="AB19" s="257"/>
      <c r="AC19" s="256"/>
      <c r="AD19" s="256"/>
      <c r="AE19" s="256"/>
      <c r="AF19" s="256"/>
      <c r="AG19" s="256"/>
      <c r="AH19" s="257"/>
      <c r="AI19" s="172"/>
      <c r="AJ19" s="172"/>
      <c r="AK19" s="246"/>
      <c r="AL19" s="246">
        <f t="shared" si="12"/>
        <v>1771.4077500000001</v>
      </c>
      <c r="AM19" s="246">
        <f t="shared" si="13"/>
        <v>4</v>
      </c>
      <c r="AN19" s="246">
        <f t="shared" si="14"/>
        <v>2361.877</v>
      </c>
      <c r="AO19" s="62">
        <f t="shared" si="27"/>
        <v>12244.75811388</v>
      </c>
      <c r="AP19" s="62">
        <f t="shared" si="28"/>
        <v>1807.7219499600001</v>
      </c>
      <c r="AQ19" s="62">
        <f t="shared" si="29"/>
        <v>5343.5806068000002</v>
      </c>
      <c r="AR19" s="62">
        <f t="shared" si="30"/>
        <v>1068.71612136</v>
      </c>
      <c r="AS19" s="156"/>
      <c r="AT19" s="49">
        <f t="shared" si="31"/>
        <v>1635.1456153846154</v>
      </c>
      <c r="AU19" s="49">
        <f t="shared" si="32"/>
        <v>9265.8251538461536</v>
      </c>
      <c r="AV19" s="62">
        <f t="shared" si="33"/>
        <v>12990.3235</v>
      </c>
      <c r="AW19" s="62">
        <f t="shared" si="34"/>
        <v>3542.8155000000006</v>
      </c>
      <c r="AX19" s="49">
        <f t="shared" si="35"/>
        <v>817.57280769230772</v>
      </c>
      <c r="AY19" s="49">
        <f t="shared" si="36"/>
        <v>4632.9125769230768</v>
      </c>
      <c r="AZ19" s="62">
        <f t="shared" si="16"/>
        <v>164</v>
      </c>
      <c r="BA19" s="62">
        <f t="shared" si="17"/>
        <v>11348.818984999998</v>
      </c>
      <c r="BB19" s="62">
        <v>37.21</v>
      </c>
      <c r="BC19" s="26"/>
      <c r="BD19" s="62">
        <f t="shared" si="21"/>
        <v>26116.909134615387</v>
      </c>
      <c r="BE19" s="320">
        <f t="shared" si="22"/>
        <v>91977</v>
      </c>
      <c r="BF19" s="395">
        <f t="shared" si="37"/>
        <v>181682.84615384616</v>
      </c>
    </row>
    <row r="20" spans="1:58" s="21" customFormat="1" ht="22.5" customHeight="1" x14ac:dyDescent="0.2">
      <c r="A20" s="189">
        <f t="shared" si="18"/>
        <v>16</v>
      </c>
      <c r="B20" s="201">
        <v>20438407325</v>
      </c>
      <c r="C20" s="202">
        <v>18</v>
      </c>
      <c r="D20" s="163" t="s">
        <v>164</v>
      </c>
      <c r="E20" s="45" t="str">
        <f>+'1º QUINCENA'!H23</f>
        <v>SEMI CALIF PROD</v>
      </c>
      <c r="F20" s="47">
        <v>44710</v>
      </c>
      <c r="G20" s="206">
        <f t="shared" si="0"/>
        <v>0</v>
      </c>
      <c r="H20" s="48">
        <f>+'2º QUINCENA'!G23</f>
        <v>65</v>
      </c>
      <c r="I20" s="158"/>
      <c r="J20" s="189">
        <v>14</v>
      </c>
      <c r="K20" s="218">
        <v>30</v>
      </c>
      <c r="L20" s="171"/>
      <c r="M20" s="171"/>
      <c r="N20" s="219">
        <f t="shared" si="23"/>
        <v>30</v>
      </c>
      <c r="O20" s="318">
        <f>+'1º QUINCENA'!AG23</f>
        <v>53148.13</v>
      </c>
      <c r="P20" s="318">
        <f>+'2º QUINCENA'!AE23</f>
        <v>74198.5</v>
      </c>
      <c r="Q20" s="148">
        <f t="shared" si="19"/>
        <v>127346.63</v>
      </c>
      <c r="R20" s="148">
        <f>+'1º QUINCENA'!AH23+'2º QUINCENA'!AF23+'2º QUINCENA'!AG23+'2º QUINCENA'!AH23</f>
        <v>0</v>
      </c>
      <c r="S20" s="261">
        <f t="shared" si="1"/>
        <v>4552.3919999999998</v>
      </c>
      <c r="T20" s="61">
        <f t="shared" si="24"/>
        <v>122794.23800000001</v>
      </c>
      <c r="U20" s="30"/>
      <c r="V20" s="255"/>
      <c r="W20" s="255"/>
      <c r="X20" s="255"/>
      <c r="Y20" s="255"/>
      <c r="Z20" s="255"/>
      <c r="AA20" s="256"/>
      <c r="AB20" s="257"/>
      <c r="AC20" s="256"/>
      <c r="AD20" s="256"/>
      <c r="AE20" s="256"/>
      <c r="AF20" s="256"/>
      <c r="AG20" s="256"/>
      <c r="AH20" s="257"/>
      <c r="AI20" s="172"/>
      <c r="AJ20" s="172"/>
      <c r="AK20" s="246"/>
      <c r="AL20" s="246">
        <f t="shared" si="12"/>
        <v>1910.1994500000001</v>
      </c>
      <c r="AM20" s="246">
        <f t="shared" si="13"/>
        <v>4</v>
      </c>
      <c r="AN20" s="246">
        <f t="shared" si="14"/>
        <v>2546.9326000000001</v>
      </c>
      <c r="AO20" s="62">
        <f t="shared" si="27"/>
        <v>13224.9394326</v>
      </c>
      <c r="AP20" s="62">
        <f t="shared" si="28"/>
        <v>1952.4283842000002</v>
      </c>
      <c r="AQ20" s="62">
        <f t="shared" si="29"/>
        <v>5771.3291860000008</v>
      </c>
      <c r="AR20" s="62">
        <f t="shared" si="30"/>
        <v>1154.2658372000001</v>
      </c>
      <c r="AS20" s="156"/>
      <c r="AT20" s="49">
        <f t="shared" si="31"/>
        <v>1763.2610307692305</v>
      </c>
      <c r="AU20" s="49">
        <f t="shared" si="32"/>
        <v>9991.8125076923061</v>
      </c>
      <c r="AV20" s="62">
        <f t="shared" si="33"/>
        <v>14008.129300000002</v>
      </c>
      <c r="AW20" s="62">
        <f t="shared" si="34"/>
        <v>3820.3989000000001</v>
      </c>
      <c r="AX20" s="49">
        <f t="shared" si="35"/>
        <v>881.63051538461525</v>
      </c>
      <c r="AY20" s="49">
        <f t="shared" si="36"/>
        <v>4995.906253846153</v>
      </c>
      <c r="AZ20" s="62">
        <f t="shared" si="16"/>
        <v>164</v>
      </c>
      <c r="BA20" s="62">
        <f t="shared" si="17"/>
        <v>12238.011143</v>
      </c>
      <c r="BB20" s="62">
        <v>37.21</v>
      </c>
      <c r="BC20" s="26"/>
      <c r="BD20" s="62">
        <f t="shared" si="21"/>
        <v>28163.197019230771</v>
      </c>
      <c r="BE20" s="320">
        <f t="shared" si="22"/>
        <v>99184</v>
      </c>
      <c r="BF20" s="395">
        <f t="shared" si="37"/>
        <v>195917.89230769232</v>
      </c>
    </row>
    <row r="21" spans="1:58" s="21" customFormat="1" ht="22.5" customHeight="1" x14ac:dyDescent="0.2">
      <c r="A21" s="189">
        <f t="shared" si="18"/>
        <v>17</v>
      </c>
      <c r="B21" s="201">
        <v>23429243939</v>
      </c>
      <c r="C21" s="202">
        <v>19</v>
      </c>
      <c r="D21" s="163" t="s">
        <v>166</v>
      </c>
      <c r="E21" s="45" t="str">
        <f>+'1º QUINCENA'!H24</f>
        <v>SEMI CALIF PROD</v>
      </c>
      <c r="F21" s="47">
        <v>44710</v>
      </c>
      <c r="G21" s="206">
        <f t="shared" si="0"/>
        <v>0</v>
      </c>
      <c r="H21" s="48">
        <f>+'2º QUINCENA'!G24</f>
        <v>65</v>
      </c>
      <c r="I21" s="158"/>
      <c r="J21" s="189">
        <v>14</v>
      </c>
      <c r="K21" s="218">
        <v>30</v>
      </c>
      <c r="L21" s="171"/>
      <c r="M21" s="171"/>
      <c r="N21" s="219">
        <f t="shared" si="23"/>
        <v>30</v>
      </c>
      <c r="O21" s="318">
        <f>+'1º QUINCENA'!AG24</f>
        <v>53148.13</v>
      </c>
      <c r="P21" s="318">
        <f>+'2º QUINCENA'!AE24</f>
        <v>73829.350000000006</v>
      </c>
      <c r="Q21" s="148">
        <f t="shared" si="19"/>
        <v>126977.48000000001</v>
      </c>
      <c r="R21" s="148">
        <f>+'1º QUINCENA'!AH24+'2º QUINCENA'!AF24+'2º QUINCENA'!AG24+'2º QUINCENA'!AH24</f>
        <v>0</v>
      </c>
      <c r="S21" s="261">
        <f t="shared" si="1"/>
        <v>4552.3919999999998</v>
      </c>
      <c r="T21" s="61">
        <f t="shared" si="24"/>
        <v>122425.08800000002</v>
      </c>
      <c r="U21" s="30"/>
      <c r="V21" s="255"/>
      <c r="W21" s="255"/>
      <c r="X21" s="255"/>
      <c r="Y21" s="255"/>
      <c r="Z21" s="255"/>
      <c r="AA21" s="256"/>
      <c r="AB21" s="257"/>
      <c r="AC21" s="256"/>
      <c r="AD21" s="256"/>
      <c r="AE21" s="256"/>
      <c r="AF21" s="256"/>
      <c r="AG21" s="256"/>
      <c r="AH21" s="257"/>
      <c r="AI21" s="172"/>
      <c r="AJ21" s="172"/>
      <c r="AK21" s="246"/>
      <c r="AL21" s="246">
        <f t="shared" si="12"/>
        <v>1904.6622</v>
      </c>
      <c r="AM21" s="246">
        <f t="shared" si="13"/>
        <v>4</v>
      </c>
      <c r="AN21" s="246">
        <f t="shared" si="14"/>
        <v>2539.5496000000003</v>
      </c>
      <c r="AO21" s="62">
        <f t="shared" si="27"/>
        <v>13185.181977600001</v>
      </c>
      <c r="AP21" s="62">
        <f t="shared" si="28"/>
        <v>1946.5588992000005</v>
      </c>
      <c r="AQ21" s="62">
        <f t="shared" si="29"/>
        <v>5753.9791360000008</v>
      </c>
      <c r="AR21" s="62">
        <f t="shared" si="30"/>
        <v>1150.7958272000001</v>
      </c>
      <c r="AS21" s="156"/>
      <c r="AT21" s="49">
        <f t="shared" si="31"/>
        <v>1758.1497230769235</v>
      </c>
      <c r="AU21" s="49">
        <f t="shared" si="32"/>
        <v>9962.8484307692324</v>
      </c>
      <c r="AV21" s="62">
        <f t="shared" si="33"/>
        <v>13967.522800000001</v>
      </c>
      <c r="AW21" s="62">
        <f t="shared" si="34"/>
        <v>3809.3244000000004</v>
      </c>
      <c r="AX21" s="49">
        <f t="shared" si="35"/>
        <v>879.07486153846173</v>
      </c>
      <c r="AY21" s="49">
        <f t="shared" si="36"/>
        <v>4981.4242153846162</v>
      </c>
      <c r="AZ21" s="62">
        <f t="shared" si="16"/>
        <v>164</v>
      </c>
      <c r="BA21" s="62">
        <f t="shared" si="17"/>
        <v>12202.535828</v>
      </c>
      <c r="BB21" s="62">
        <v>37.21</v>
      </c>
      <c r="BC21" s="26"/>
      <c r="BD21" s="62">
        <f t="shared" si="21"/>
        <v>28081.55807692308</v>
      </c>
      <c r="BE21" s="320">
        <f t="shared" si="22"/>
        <v>98896</v>
      </c>
      <c r="BF21" s="395">
        <f t="shared" si="37"/>
        <v>195349.96923076923</v>
      </c>
    </row>
    <row r="22" spans="1:58" s="21" customFormat="1" ht="22.5" customHeight="1" x14ac:dyDescent="0.2">
      <c r="A22" s="189">
        <f t="shared" si="18"/>
        <v>18</v>
      </c>
      <c r="B22" s="201">
        <v>20372389584</v>
      </c>
      <c r="C22" s="202">
        <v>20</v>
      </c>
      <c r="D22" s="163" t="s">
        <v>167</v>
      </c>
      <c r="E22" s="45" t="str">
        <f>+'1º QUINCENA'!H25</f>
        <v>CALIF PROD</v>
      </c>
      <c r="F22" s="47">
        <v>44710</v>
      </c>
      <c r="G22" s="206">
        <f t="shared" si="0"/>
        <v>0</v>
      </c>
      <c r="H22" s="48">
        <f>+'2º QUINCENA'!G25</f>
        <v>100</v>
      </c>
      <c r="I22" s="158"/>
      <c r="J22" s="189">
        <v>14</v>
      </c>
      <c r="K22" s="218">
        <v>30</v>
      </c>
      <c r="L22" s="171"/>
      <c r="M22" s="171"/>
      <c r="N22" s="219">
        <f t="shared" si="23"/>
        <v>30</v>
      </c>
      <c r="O22" s="318">
        <f>+'1º QUINCENA'!AG25</f>
        <v>87992.689937106916</v>
      </c>
      <c r="P22" s="318">
        <f>+'2º QUINCENA'!AE25</f>
        <v>124181.68194968556</v>
      </c>
      <c r="Q22" s="148">
        <f t="shared" si="19"/>
        <v>212174.37188679248</v>
      </c>
      <c r="R22" s="148">
        <f>+'1º QUINCENA'!AH25+'2º QUINCENA'!AF25+'2º QUINCENA'!AG25+'2º QUINCENA'!AH25</f>
        <v>0</v>
      </c>
      <c r="S22" s="261">
        <f t="shared" si="1"/>
        <v>7003.68</v>
      </c>
      <c r="T22" s="61">
        <f t="shared" si="24"/>
        <v>205170.69188679248</v>
      </c>
      <c r="U22" s="30"/>
      <c r="V22" s="255"/>
      <c r="W22" s="255"/>
      <c r="X22" s="255"/>
      <c r="Y22" s="255"/>
      <c r="Z22" s="255"/>
      <c r="AA22" s="256"/>
      <c r="AB22" s="257"/>
      <c r="AC22" s="256"/>
      <c r="AD22" s="256"/>
      <c r="AE22" s="256"/>
      <c r="AF22" s="256"/>
      <c r="AG22" s="256"/>
      <c r="AH22" s="257"/>
      <c r="AI22" s="172"/>
      <c r="AJ22" s="172"/>
      <c r="AK22" s="246"/>
      <c r="AL22" s="246">
        <f t="shared" si="12"/>
        <v>3182.6155783018871</v>
      </c>
      <c r="AM22" s="246">
        <f t="shared" si="13"/>
        <v>4</v>
      </c>
      <c r="AN22" s="246">
        <f t="shared" si="14"/>
        <v>4243.4874377358492</v>
      </c>
      <c r="AO22" s="62">
        <f t="shared" si="27"/>
        <v>22096.883516207552</v>
      </c>
      <c r="AP22" s="62">
        <f t="shared" si="28"/>
        <v>3262.2140010000007</v>
      </c>
      <c r="AQ22" s="62">
        <f t="shared" si="29"/>
        <v>9643.0225186792468</v>
      </c>
      <c r="AR22" s="62">
        <f t="shared" si="30"/>
        <v>1928.6045037358492</v>
      </c>
      <c r="AS22" s="156"/>
      <c r="AT22" s="49">
        <f t="shared" si="31"/>
        <v>1909.5693469811324</v>
      </c>
      <c r="AU22" s="49">
        <f t="shared" si="32"/>
        <v>10820.892966226416</v>
      </c>
      <c r="AV22" s="62">
        <f t="shared" si="33"/>
        <v>23339.180907547172</v>
      </c>
      <c r="AW22" s="62">
        <f t="shared" si="34"/>
        <v>6365.2311566037743</v>
      </c>
      <c r="AX22" s="49">
        <f t="shared" si="35"/>
        <v>954.78467349056621</v>
      </c>
      <c r="AY22" s="49">
        <f t="shared" si="36"/>
        <v>5410.4464831132082</v>
      </c>
      <c r="AZ22" s="62">
        <f t="shared" si="16"/>
        <v>164</v>
      </c>
      <c r="BA22" s="62">
        <f t="shared" si="17"/>
        <v>20389.957138320755</v>
      </c>
      <c r="BB22" s="62">
        <v>37.21</v>
      </c>
      <c r="BC22" s="26"/>
      <c r="BD22" s="62">
        <f t="shared" si="21"/>
        <v>43495.746236792453</v>
      </c>
      <c r="BE22" s="320">
        <f t="shared" si="22"/>
        <v>168679</v>
      </c>
      <c r="BF22" s="395">
        <f t="shared" si="37"/>
        <v>212174.37188679245</v>
      </c>
    </row>
    <row r="23" spans="1:58" s="21" customFormat="1" ht="22.5" customHeight="1" x14ac:dyDescent="0.2">
      <c r="A23" s="189">
        <f t="shared" si="18"/>
        <v>19</v>
      </c>
      <c r="B23" s="201" t="s">
        <v>218</v>
      </c>
      <c r="C23" s="202">
        <v>24</v>
      </c>
      <c r="D23" s="163" t="s">
        <v>219</v>
      </c>
      <c r="E23" s="45" t="str">
        <f>+'1º QUINCENA'!H26</f>
        <v>OP INICIAL PROD</v>
      </c>
      <c r="F23" s="47">
        <v>44815</v>
      </c>
      <c r="G23" s="206">
        <f t="shared" si="0"/>
        <v>0</v>
      </c>
      <c r="H23" s="48">
        <v>65</v>
      </c>
      <c r="I23" s="158"/>
      <c r="J23" s="189">
        <v>14</v>
      </c>
      <c r="K23" s="218">
        <v>30</v>
      </c>
      <c r="L23" s="399"/>
      <c r="M23" s="399"/>
      <c r="N23" s="219">
        <f t="shared" si="23"/>
        <v>30</v>
      </c>
      <c r="O23" s="318">
        <f>+'1º QUINCENA'!AG26</f>
        <v>48488.770000000004</v>
      </c>
      <c r="P23" s="318">
        <f>+'2º QUINCENA'!AE26</f>
        <v>68046.16</v>
      </c>
      <c r="Q23" s="148">
        <f t="shared" si="19"/>
        <v>116534.93000000001</v>
      </c>
      <c r="R23" s="148">
        <f>+'1º QUINCENA'!AH26+'2º QUINCENA'!AF26+'2º QUINCENA'!AG26+'2º QUINCENA'!AH26</f>
        <v>0</v>
      </c>
      <c r="S23" s="261">
        <f t="shared" si="1"/>
        <v>4552.3919999999998</v>
      </c>
      <c r="T23" s="61">
        <f t="shared" si="24"/>
        <v>111982.538</v>
      </c>
      <c r="U23" s="30"/>
      <c r="V23" s="255"/>
      <c r="W23" s="255"/>
      <c r="X23" s="255"/>
      <c r="Y23" s="255"/>
      <c r="Z23" s="255"/>
      <c r="AA23" s="256"/>
      <c r="AB23" s="257"/>
      <c r="AC23" s="256"/>
      <c r="AD23" s="256"/>
      <c r="AE23" s="256"/>
      <c r="AF23" s="256"/>
      <c r="AG23" s="256"/>
      <c r="AH23" s="257"/>
      <c r="AI23" s="172"/>
      <c r="AJ23" s="172"/>
      <c r="AK23" s="246"/>
      <c r="AL23" s="246">
        <f t="shared" ref="AL23" si="38">+Q23*0.015</f>
        <v>1748.02395</v>
      </c>
      <c r="AM23" s="246">
        <f t="shared" si="13"/>
        <v>4</v>
      </c>
      <c r="AN23" s="246">
        <f t="shared" ref="AN23" si="39">Q23*0.02</f>
        <v>2330.6986000000002</v>
      </c>
      <c r="AO23" s="62">
        <f t="shared" ref="AO23" si="40">(T23)*(10.77)/100</f>
        <v>12060.519342600001</v>
      </c>
      <c r="AP23" s="62">
        <f t="shared" ref="AP23" si="41">T23*1.59/100</f>
        <v>1780.5223542000001</v>
      </c>
      <c r="AQ23" s="62">
        <f t="shared" ref="AQ23" si="42">T23*4.7/100</f>
        <v>5263.1792859999996</v>
      </c>
      <c r="AR23" s="62">
        <f t="shared" ref="AR23" si="43">T23*0.94/100</f>
        <v>1052.6358571999999</v>
      </c>
      <c r="AS23" s="156"/>
      <c r="AT23" s="49">
        <f t="shared" ref="AT23" si="44">IF((Q23*100/H23)&lt;=2400,((Q23*100/H23)*6/100)*10/100,((Q23*100/H23)*6/100)*15/100)</f>
        <v>1613.5605692307693</v>
      </c>
      <c r="AU23" s="49">
        <f>IF((Q23*100/H23)&lt;=2400,((Q23*100/H23)*6/100)*90/100,((Q23*100/H23)*6/100)*85/100)</f>
        <v>9143.509892307693</v>
      </c>
      <c r="AV23" s="62">
        <f t="shared" ref="AV23" si="45">Q23*11/100</f>
        <v>12818.8423</v>
      </c>
      <c r="AW23" s="62">
        <f t="shared" ref="AW23" si="46">Q23*3/100</f>
        <v>3496.0479000000005</v>
      </c>
      <c r="AX23" s="49">
        <f t="shared" ref="AX23" si="47">IF((Q23*100/H23)&lt;=2400,((Q23*100/H23)*3/100)*10/100,((Q23*100/H23)*3/100)*15/100)</f>
        <v>806.78028461538463</v>
      </c>
      <c r="AY23" s="49">
        <f t="shared" ref="AY23" si="48">IF((Q23*100/H23)&lt;=2400,((Q23*100/H23)*3/100)*90/100,((Q23*100/H23)*3/100)*85/100)</f>
        <v>4571.7549461538465</v>
      </c>
      <c r="AZ23" s="62">
        <f t="shared" si="16"/>
        <v>164</v>
      </c>
      <c r="BA23" s="62">
        <f t="shared" si="17"/>
        <v>11199.006773000001</v>
      </c>
      <c r="BB23" s="62">
        <v>37.21</v>
      </c>
      <c r="BC23" s="26"/>
      <c r="BD23" s="62">
        <f>+AV23+AW23+AX23+AY23+V23+W23+AK23+AL23+AN23</f>
        <v>25772.147980769234</v>
      </c>
      <c r="BE23" s="320">
        <f>+ROUNDUP(Q23+R23-BD23+'1º QUINCENA'!AI26+'1º QUINCENA'!AK26,0)</f>
        <v>90763</v>
      </c>
      <c r="BF23" s="395">
        <f t="shared" si="37"/>
        <v>179284.5076923077</v>
      </c>
    </row>
    <row r="24" spans="1:58" s="21" customFormat="1" ht="22.5" customHeight="1" x14ac:dyDescent="0.2">
      <c r="A24" s="189">
        <f t="shared" si="18"/>
        <v>20</v>
      </c>
      <c r="B24" s="201" t="s">
        <v>239</v>
      </c>
      <c r="C24" s="202">
        <v>25</v>
      </c>
      <c r="D24" s="163" t="s">
        <v>240</v>
      </c>
      <c r="E24" s="45" t="str">
        <f>+'1º QUINCENA'!H27</f>
        <v>OP INICIAL PROD</v>
      </c>
      <c r="F24" s="47">
        <v>44829</v>
      </c>
      <c r="G24" s="206">
        <f t="shared" si="0"/>
        <v>0</v>
      </c>
      <c r="H24" s="48">
        <v>65</v>
      </c>
      <c r="I24" s="158"/>
      <c r="J24" s="434">
        <v>14</v>
      </c>
      <c r="K24" s="218">
        <v>30</v>
      </c>
      <c r="L24" s="399"/>
      <c r="M24" s="399"/>
      <c r="N24" s="219">
        <f t="shared" si="23"/>
        <v>30</v>
      </c>
      <c r="O24" s="318">
        <f>+'1º QUINCENA'!AG27</f>
        <v>48488.770000000004</v>
      </c>
      <c r="P24" s="318">
        <f>+'2º QUINCENA'!AE27</f>
        <v>68046.16</v>
      </c>
      <c r="Q24" s="148">
        <f t="shared" si="19"/>
        <v>116534.93000000001</v>
      </c>
      <c r="R24" s="148">
        <f>+'1º QUINCENA'!AH27+'2º QUINCENA'!AF27+'2º QUINCENA'!AG27+'2º QUINCENA'!AH27</f>
        <v>0</v>
      </c>
      <c r="S24" s="261">
        <f t="shared" si="1"/>
        <v>4552.3919999999998</v>
      </c>
      <c r="T24" s="61">
        <f t="shared" si="24"/>
        <v>111982.538</v>
      </c>
      <c r="U24" s="30"/>
      <c r="V24" s="255"/>
      <c r="W24" s="255"/>
      <c r="X24" s="255"/>
      <c r="Y24" s="255"/>
      <c r="Z24" s="255"/>
      <c r="AA24" s="256"/>
      <c r="AB24" s="257"/>
      <c r="AC24" s="256"/>
      <c r="AD24" s="256"/>
      <c r="AE24" s="256"/>
      <c r="AF24" s="256"/>
      <c r="AG24" s="256"/>
      <c r="AH24" s="257"/>
      <c r="AI24" s="172"/>
      <c r="AJ24" s="172"/>
      <c r="AK24" s="246"/>
      <c r="AL24" s="246">
        <f t="shared" ref="AL24:AL25" si="49">+Q24*0.015</f>
        <v>1748.02395</v>
      </c>
      <c r="AM24" s="246">
        <f t="shared" si="13"/>
        <v>4</v>
      </c>
      <c r="AN24" s="246">
        <f t="shared" ref="AN24:AN25" si="50">Q24*0.02</f>
        <v>2330.6986000000002</v>
      </c>
      <c r="AO24" s="62">
        <f t="shared" ref="AO24" si="51">(T24)*(10.77)/100</f>
        <v>12060.519342600001</v>
      </c>
      <c r="AP24" s="62">
        <f t="shared" ref="AP24" si="52">T24*1.59/100</f>
        <v>1780.5223542000001</v>
      </c>
      <c r="AQ24" s="62">
        <f t="shared" ref="AQ24" si="53">T24*4.7/100</f>
        <v>5263.1792859999996</v>
      </c>
      <c r="AR24" s="62">
        <f t="shared" ref="AR24" si="54">T24*0.94/100</f>
        <v>1052.6358571999999</v>
      </c>
      <c r="AS24" s="156"/>
      <c r="AT24" s="49">
        <f t="shared" ref="AT24" si="55">IF((Q24*100/H24)&lt;=2400,((Q24*100/H24)*6/100)*10/100,((Q24*100/H24)*6/100)*15/100)</f>
        <v>1613.5605692307693</v>
      </c>
      <c r="AU24" s="49">
        <f>IF((Q24*100/H24)&lt;=2400,((Q24*100/H24)*6/100)*90/100,((Q24*100/H24)*6/100)*85/100)</f>
        <v>9143.509892307693</v>
      </c>
      <c r="AV24" s="62">
        <f t="shared" ref="AV24" si="56">Q24*11/100</f>
        <v>12818.8423</v>
      </c>
      <c r="AW24" s="62">
        <f t="shared" ref="AW24" si="57">Q24*3/100</f>
        <v>3496.0479000000005</v>
      </c>
      <c r="AX24" s="49">
        <f t="shared" ref="AX24" si="58">IF((Q24*100/H24)&lt;=2400,((Q24*100/H24)*3/100)*10/100,((Q24*100/H24)*3/100)*15/100)</f>
        <v>806.78028461538463</v>
      </c>
      <c r="AY24" s="49">
        <f t="shared" ref="AY24" si="59">IF((Q24*100/H24)&lt;=2400,((Q24*100/H24)*3/100)*90/100,((Q24*100/H24)*3/100)*85/100)</f>
        <v>4571.7549461538465</v>
      </c>
      <c r="AZ24" s="62">
        <f t="shared" si="16"/>
        <v>164</v>
      </c>
      <c r="BA24" s="62">
        <f t="shared" si="17"/>
        <v>11199.006773000001</v>
      </c>
      <c r="BB24" s="62">
        <v>37.21</v>
      </c>
      <c r="BC24" s="26"/>
      <c r="BD24" s="62">
        <f>+AV24+AW24+AX24+AY24+V24+W24+AK24+AL24+AN24</f>
        <v>25772.147980769234</v>
      </c>
      <c r="BE24" s="320">
        <f>+ROUNDUP(Q24+R24-BD24+'1º QUINCENA'!AI27+'1º QUINCENA'!AK27,0)</f>
        <v>90763</v>
      </c>
      <c r="BF24" s="395">
        <f t="shared" si="37"/>
        <v>179284.5076923077</v>
      </c>
    </row>
    <row r="25" spans="1:58" s="21" customFormat="1" ht="22.5" customHeight="1" thickBot="1" x14ac:dyDescent="0.25">
      <c r="A25" s="189">
        <f t="shared" si="18"/>
        <v>21</v>
      </c>
      <c r="B25" s="201" t="s">
        <v>246</v>
      </c>
      <c r="C25" s="202">
        <v>26</v>
      </c>
      <c r="D25" s="163" t="s">
        <v>247</v>
      </c>
      <c r="E25" s="45" t="str">
        <f>+'1º QUINCENA'!H28</f>
        <v>OP INICIAL PROD</v>
      </c>
      <c r="F25" s="47">
        <v>44866</v>
      </c>
      <c r="G25" s="206">
        <f t="shared" si="0"/>
        <v>0</v>
      </c>
      <c r="H25" s="48">
        <v>65</v>
      </c>
      <c r="I25" s="158"/>
      <c r="J25" s="434">
        <v>14</v>
      </c>
      <c r="K25" s="218">
        <v>30</v>
      </c>
      <c r="L25" s="399"/>
      <c r="M25" s="399"/>
      <c r="N25" s="219">
        <f t="shared" si="23"/>
        <v>30</v>
      </c>
      <c r="O25" s="318">
        <f>+'1º QUINCENA'!AG28</f>
        <v>48488.770000000004</v>
      </c>
      <c r="P25" s="318">
        <f>+'2º QUINCENA'!AE28</f>
        <v>62406.060000000005</v>
      </c>
      <c r="Q25" s="148">
        <f t="shared" si="19"/>
        <v>110894.83000000002</v>
      </c>
      <c r="R25" s="148">
        <f>+'1º QUINCENA'!AH28+'2º QUINCENA'!AF28+'2º QUINCENA'!AG28+'2º QUINCENA'!AH28</f>
        <v>0</v>
      </c>
      <c r="S25" s="261">
        <f t="shared" si="1"/>
        <v>4552.3919999999998</v>
      </c>
      <c r="T25" s="61">
        <f t="shared" si="24"/>
        <v>106342.43800000002</v>
      </c>
      <c r="U25" s="30"/>
      <c r="V25" s="255"/>
      <c r="W25" s="255"/>
      <c r="X25" s="255"/>
      <c r="Y25" s="255"/>
      <c r="Z25" s="255"/>
      <c r="AA25" s="256"/>
      <c r="AB25" s="257"/>
      <c r="AC25" s="256"/>
      <c r="AD25" s="256"/>
      <c r="AE25" s="256"/>
      <c r="AF25" s="256"/>
      <c r="AG25" s="256"/>
      <c r="AH25" s="257"/>
      <c r="AI25" s="172"/>
      <c r="AJ25" s="172"/>
      <c r="AK25" s="246"/>
      <c r="AL25" s="246">
        <f t="shared" si="49"/>
        <v>1663.4224500000003</v>
      </c>
      <c r="AM25" s="246">
        <f t="shared" si="13"/>
        <v>4</v>
      </c>
      <c r="AN25" s="246">
        <f t="shared" si="50"/>
        <v>2217.8966000000005</v>
      </c>
      <c r="AO25" s="62">
        <f t="shared" ref="AO25" si="60">(T25)*(10.77)/100</f>
        <v>11453.080572600002</v>
      </c>
      <c r="AP25" s="62">
        <f t="shared" ref="AP25" si="61">T25*1.59/100</f>
        <v>1690.8447642000006</v>
      </c>
      <c r="AQ25" s="62">
        <f t="shared" ref="AQ25" si="62">T25*4.7/100</f>
        <v>4998.0945860000011</v>
      </c>
      <c r="AR25" s="62">
        <f t="shared" ref="AR25" si="63">T25*0.94/100</f>
        <v>999.61891720000017</v>
      </c>
      <c r="AS25" s="156"/>
      <c r="AT25" s="49">
        <f t="shared" ref="AT25" si="64">IF((Q25*100/H25)&lt;=2400,((Q25*100/H25)*6/100)*10/100,((Q25*100/H25)*6/100)*15/100)</f>
        <v>1535.4668769230768</v>
      </c>
      <c r="AU25" s="49">
        <f>IF((Q25*100/H25)&lt;=2400,((Q25*100/H25)*6/100)*90/100,((Q25*100/H25)*6/100)*85/100)</f>
        <v>8700.9789692307695</v>
      </c>
      <c r="AV25" s="62">
        <f t="shared" ref="AV25" si="65">Q25*11/100</f>
        <v>12198.431300000002</v>
      </c>
      <c r="AW25" s="62">
        <f t="shared" ref="AW25" si="66">Q25*3/100</f>
        <v>3326.8449000000005</v>
      </c>
      <c r="AX25" s="49">
        <f t="shared" ref="AX25:AX26" si="67">IF((Q25*100/H25)&lt;=2400,((Q25*100/H25)*3/100)*10/100,((Q25*100/H25)*3/100)*15/100)</f>
        <v>767.73343846153841</v>
      </c>
      <c r="AY25" s="49">
        <f t="shared" ref="AY25:AY26" si="68">IF((Q25*100/H25)&lt;=2400,((Q25*100/H25)*3/100)*90/100,((Q25*100/H25)*3/100)*85/100)</f>
        <v>4350.4894846153848</v>
      </c>
      <c r="AZ25" s="62">
        <f t="shared" si="16"/>
        <v>164</v>
      </c>
      <c r="BA25" s="62">
        <f t="shared" si="17"/>
        <v>10656.993163000001</v>
      </c>
      <c r="BB25" s="62">
        <v>37.21</v>
      </c>
      <c r="BC25" s="26"/>
      <c r="BD25" s="62">
        <f>+AV25+AW25+AX25+AY25+V25+W25+AK25+AL25+AN25</f>
        <v>24524.818173076928</v>
      </c>
      <c r="BE25" s="320">
        <f>+ROUNDUP(Q25+R25-BD25+'1º QUINCENA'!AI28+'1º QUINCENA'!AK28,0)</f>
        <v>86371</v>
      </c>
      <c r="BF25" s="395">
        <f t="shared" si="37"/>
        <v>170607.43076923079</v>
      </c>
    </row>
    <row r="26" spans="1:58" s="340" customFormat="1" ht="22.5" customHeight="1" x14ac:dyDescent="0.2">
      <c r="A26" s="189">
        <f t="shared" si="18"/>
        <v>22</v>
      </c>
      <c r="B26" s="323" t="s">
        <v>251</v>
      </c>
      <c r="C26" s="324">
        <v>27</v>
      </c>
      <c r="D26" s="325" t="s">
        <v>252</v>
      </c>
      <c r="E26" s="324" t="str">
        <f>+'NOMINA MES'!E7</f>
        <v>ENCARGADO</v>
      </c>
      <c r="F26" s="326">
        <v>44887</v>
      </c>
      <c r="G26" s="327">
        <f t="shared" si="0"/>
        <v>0</v>
      </c>
      <c r="H26" s="324">
        <v>100</v>
      </c>
      <c r="I26" s="324"/>
      <c r="J26" s="328"/>
      <c r="K26" s="345">
        <v>30</v>
      </c>
      <c r="L26" s="327"/>
      <c r="M26" s="327"/>
      <c r="N26" s="329">
        <f t="shared" si="23"/>
        <v>30</v>
      </c>
      <c r="O26" s="330"/>
      <c r="P26" s="330">
        <f>+'NOMINA MES'!X7</f>
        <v>330000</v>
      </c>
      <c r="Q26" s="331">
        <f t="shared" si="19"/>
        <v>330000</v>
      </c>
      <c r="R26" s="331">
        <f>+'1º QUINCENA'!AH29+'2º QUINCENA'!AF29+'2º QUINCENA'!AG29+'2º QUINCENA'!AH29</f>
        <v>0</v>
      </c>
      <c r="S26" s="332">
        <f t="shared" si="1"/>
        <v>7003.68</v>
      </c>
      <c r="T26" s="331">
        <f t="shared" si="24"/>
        <v>322996.32</v>
      </c>
      <c r="U26" s="333"/>
      <c r="V26" s="334"/>
      <c r="W26" s="334"/>
      <c r="X26" s="334"/>
      <c r="Y26" s="334"/>
      <c r="Z26" s="334"/>
      <c r="AA26" s="334"/>
      <c r="AB26" s="335"/>
      <c r="AC26" s="334"/>
      <c r="AD26" s="334"/>
      <c r="AE26" s="334"/>
      <c r="AF26" s="334"/>
      <c r="AG26" s="334"/>
      <c r="AH26" s="335"/>
      <c r="AI26" s="336"/>
      <c r="AJ26" s="336"/>
      <c r="AK26" s="337"/>
      <c r="AL26" s="442"/>
      <c r="AM26" s="442"/>
      <c r="AN26" s="442"/>
      <c r="AO26" s="338">
        <f t="shared" ref="AO26" si="69">(T26)*(10.77)/100</f>
        <v>34786.703664000001</v>
      </c>
      <c r="AP26" s="338">
        <f t="shared" ref="AP26" si="70">T26*1.59/100</f>
        <v>5135.6414880000002</v>
      </c>
      <c r="AQ26" s="338">
        <f t="shared" ref="AQ26" si="71">T26*4.7/100</f>
        <v>15180.827040000002</v>
      </c>
      <c r="AR26" s="338">
        <f t="shared" ref="AR26" si="72">T26*0.94/100</f>
        <v>3036.1654080000003</v>
      </c>
      <c r="AS26" s="338"/>
      <c r="AT26" s="339">
        <f>IF((Q26*100/H26)&lt;=2400,((Q26*100/H26)*6/100)*10/100,((Q26*100/H26)*6/100)*15/100)</f>
        <v>2970</v>
      </c>
      <c r="AU26" s="339">
        <f t="shared" ref="AU26" si="73">IF((Q26*100/H26)&lt;=2400,((Q26*100/H26)*6/100)*90/100,((Q26*100/H26)*6/100)*85/100)</f>
        <v>16830</v>
      </c>
      <c r="AV26" s="338">
        <f t="shared" ref="AV26" si="74">Q26*11/100</f>
        <v>36300</v>
      </c>
      <c r="AW26" s="338">
        <f t="shared" ref="AW26" si="75">Q26*3/100</f>
        <v>9900</v>
      </c>
      <c r="AX26" s="339">
        <f t="shared" si="67"/>
        <v>1485</v>
      </c>
      <c r="AY26" s="339">
        <f t="shared" si="68"/>
        <v>8415</v>
      </c>
      <c r="AZ26" s="338">
        <f t="shared" si="16"/>
        <v>164</v>
      </c>
      <c r="BA26" s="338">
        <f t="shared" si="17"/>
        <v>31713</v>
      </c>
      <c r="BB26" s="338">
        <v>37.21</v>
      </c>
      <c r="BD26" s="338">
        <f>+AV26+AW26+AX26+AY26+V26+W26+AK26+AL26+AN26</f>
        <v>56100</v>
      </c>
      <c r="BE26" s="338">
        <f>+ROUNDUP(Q26+R26-BD26,0)</f>
        <v>273900</v>
      </c>
      <c r="BF26" s="439">
        <f t="shared" si="37"/>
        <v>330000</v>
      </c>
    </row>
    <row r="27" spans="1:58" s="51" customFormat="1" ht="21" customHeight="1" x14ac:dyDescent="0.2">
      <c r="A27" s="268">
        <f>COUNT(A5:A26)</f>
        <v>22</v>
      </c>
      <c r="B27" s="151"/>
      <c r="C27" s="150"/>
      <c r="D27" s="152"/>
      <c r="E27" s="150"/>
      <c r="F27" s="153"/>
      <c r="G27" s="155"/>
      <c r="H27" s="150"/>
      <c r="I27" s="150"/>
      <c r="J27" s="150"/>
      <c r="K27" s="217"/>
      <c r="L27" s="217"/>
      <c r="M27" s="217"/>
      <c r="N27" s="217"/>
      <c r="O27" s="88">
        <f>SUM(O5:O26)</f>
        <v>1213857.1810691822</v>
      </c>
      <c r="P27" s="88">
        <f t="shared" ref="P27:S27" si="76">SUM(P5:P26)</f>
        <v>2407098.1816666666</v>
      </c>
      <c r="Q27" s="88">
        <f t="shared" si="76"/>
        <v>3620955.3627358493</v>
      </c>
      <c r="R27" s="88">
        <f t="shared" si="76"/>
        <v>0</v>
      </c>
      <c r="S27" s="88">
        <f t="shared" si="76"/>
        <v>114323.40319999997</v>
      </c>
      <c r="T27" s="262">
        <f>SUMIF(S5:S26,"&gt;0",T5:T26)</f>
        <v>3506631.9595358493</v>
      </c>
      <c r="U27" s="30"/>
      <c r="V27" s="88">
        <f t="shared" ref="V27:AJ27" si="77">SUM(V5:V22)</f>
        <v>0</v>
      </c>
      <c r="W27" s="88">
        <f t="shared" si="77"/>
        <v>0</v>
      </c>
      <c r="X27" s="88">
        <f t="shared" si="77"/>
        <v>0</v>
      </c>
      <c r="Y27" s="88">
        <f t="shared" si="77"/>
        <v>0</v>
      </c>
      <c r="Z27" s="88">
        <f t="shared" si="77"/>
        <v>0</v>
      </c>
      <c r="AA27" s="88">
        <f t="shared" si="77"/>
        <v>0</v>
      </c>
      <c r="AB27" s="88">
        <f t="shared" si="77"/>
        <v>0</v>
      </c>
      <c r="AC27" s="88">
        <f t="shared" si="77"/>
        <v>0</v>
      </c>
      <c r="AD27" s="88">
        <f t="shared" si="77"/>
        <v>0</v>
      </c>
      <c r="AE27" s="88">
        <f t="shared" si="77"/>
        <v>0</v>
      </c>
      <c r="AF27" s="88">
        <f t="shared" si="77"/>
        <v>0</v>
      </c>
      <c r="AG27" s="88">
        <f t="shared" si="77"/>
        <v>0</v>
      </c>
      <c r="AH27" s="88">
        <f t="shared" si="77"/>
        <v>0</v>
      </c>
      <c r="AI27" s="88">
        <f t="shared" si="77"/>
        <v>0</v>
      </c>
      <c r="AJ27" s="88">
        <f t="shared" si="77"/>
        <v>0</v>
      </c>
      <c r="AK27" s="88">
        <f t="shared" ref="AK27" si="78">SUM(AK5:AK24)</f>
        <v>0</v>
      </c>
      <c r="AL27" s="88">
        <f>SUM(AL5:AL26)</f>
        <v>49364.330441037739</v>
      </c>
      <c r="AM27" s="88">
        <f t="shared" ref="AM27:BA27" si="79">SUM(AM5:AM26)</f>
        <v>84</v>
      </c>
      <c r="AN27" s="88">
        <f t="shared" si="79"/>
        <v>65819.10725471699</v>
      </c>
      <c r="AO27" s="88">
        <f t="shared" si="79"/>
        <v>377664.26204201102</v>
      </c>
      <c r="AP27" s="88">
        <f t="shared" si="79"/>
        <v>55755.448156620012</v>
      </c>
      <c r="AQ27" s="88">
        <f t="shared" si="79"/>
        <v>164811.70209818491</v>
      </c>
      <c r="AR27" s="88">
        <f t="shared" si="79"/>
        <v>32962.340419636981</v>
      </c>
      <c r="AS27" s="88">
        <f t="shared" si="79"/>
        <v>0</v>
      </c>
      <c r="AT27" s="88">
        <f t="shared" si="79"/>
        <v>42200.91088308418</v>
      </c>
      <c r="AU27" s="88">
        <f t="shared" si="79"/>
        <v>239138.49500414368</v>
      </c>
      <c r="AV27" s="88">
        <f t="shared" si="79"/>
        <v>398305.08990094351</v>
      </c>
      <c r="AW27" s="88">
        <f t="shared" si="79"/>
        <v>108628.66088207548</v>
      </c>
      <c r="AX27" s="88">
        <f t="shared" si="79"/>
        <v>21100.45544154209</v>
      </c>
      <c r="AY27" s="88">
        <f t="shared" si="79"/>
        <v>119569.24750207184</v>
      </c>
      <c r="AZ27" s="88">
        <f t="shared" si="79"/>
        <v>3608</v>
      </c>
      <c r="BA27" s="88">
        <f t="shared" si="79"/>
        <v>347973.81035891507</v>
      </c>
      <c r="BB27" s="88">
        <f>SUM(BB5:BB26)</f>
        <v>818.62000000000023</v>
      </c>
      <c r="BD27" s="88">
        <f>SUM(BD5:BD26)</f>
        <v>762786.89142238768</v>
      </c>
      <c r="BE27" s="88">
        <f>SUM(BE5:BE26)</f>
        <v>2858178</v>
      </c>
    </row>
    <row r="28" spans="1:58" s="30" customFormat="1" ht="21" customHeight="1" thickBot="1" x14ac:dyDescent="0.25">
      <c r="A28" s="141"/>
      <c r="B28" s="63"/>
      <c r="C28" s="63"/>
      <c r="D28" s="63"/>
      <c r="E28" s="197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250" t="e">
        <f>+#REF!*2</f>
        <v>#REF!</v>
      </c>
      <c r="R28" s="197"/>
      <c r="S28" s="197"/>
      <c r="T28" s="197"/>
      <c r="V28" s="63"/>
      <c r="AN28" s="266" t="s">
        <v>121</v>
      </c>
      <c r="AO28" s="223">
        <f>IF(OR($A$27=25,$A$27&lt;25),-10000*10.77/100,0)</f>
        <v>-1077</v>
      </c>
      <c r="AP28" s="223">
        <f>IF(OR($A$27=25,$A$27&lt;25),-10000*1.59/100,0)</f>
        <v>-159</v>
      </c>
      <c r="AQ28" s="223">
        <f>IF(OR($A$27=25,$A$27&lt;25),-10000*4.7/100,0)</f>
        <v>-470</v>
      </c>
      <c r="AR28" s="223">
        <f>IF(OR($A$27=25,$A$27&lt;25),-10000*0.94/100,0)</f>
        <v>-94</v>
      </c>
      <c r="AS28" s="188"/>
      <c r="AT28" s="65"/>
      <c r="AU28" s="65"/>
      <c r="AV28" s="188"/>
      <c r="AW28" s="188"/>
      <c r="AX28" s="188"/>
      <c r="AY28" s="188"/>
    </row>
    <row r="29" spans="1:58" s="21" customFormat="1" ht="21" customHeight="1" thickBot="1" x14ac:dyDescent="0.25">
      <c r="A29" s="176"/>
      <c r="B29" s="177"/>
      <c r="C29" s="178"/>
      <c r="D29" s="179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95"/>
      <c r="Q29" s="195"/>
      <c r="R29" s="276">
        <f>+Q8*2</f>
        <v>266272.05999999994</v>
      </c>
      <c r="S29" s="269"/>
      <c r="T29" s="269"/>
      <c r="U29" s="30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47"/>
      <c r="AM29" s="247"/>
      <c r="AN29" s="26"/>
      <c r="AO29" s="267">
        <f>+AO27+AO28</f>
        <v>376587.26204201102</v>
      </c>
      <c r="AP29" s="267">
        <f t="shared" ref="AP29:AR29" si="80">+AP27+AP28</f>
        <v>55596.448156620012</v>
      </c>
      <c r="AQ29" s="267">
        <f t="shared" si="80"/>
        <v>164341.70209818491</v>
      </c>
      <c r="AR29" s="267">
        <f t="shared" si="80"/>
        <v>32868.340419636981</v>
      </c>
      <c r="AS29" s="180"/>
      <c r="AT29" s="180"/>
      <c r="AU29" s="180"/>
      <c r="AV29" s="180"/>
      <c r="AW29" s="180"/>
      <c r="AX29" s="30"/>
      <c r="AZ29" s="30"/>
      <c r="BA29" s="65"/>
    </row>
    <row r="30" spans="1:58" s="21" customFormat="1" ht="22.5" customHeight="1" thickBot="1" x14ac:dyDescent="0.25">
      <c r="A30" s="176"/>
      <c r="B30" s="486" t="s">
        <v>98</v>
      </c>
      <c r="C30" s="487"/>
      <c r="D30" s="181">
        <f>+R27</f>
        <v>0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207"/>
      <c r="P30" s="195"/>
      <c r="Q30" s="231" t="s">
        <v>112</v>
      </c>
      <c r="R30" s="232"/>
      <c r="S30" s="232"/>
      <c r="T30" s="233"/>
      <c r="U30" s="273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180"/>
      <c r="AP30" s="270"/>
      <c r="AQ30" s="270"/>
      <c r="AR30" s="270"/>
      <c r="AS30" s="270"/>
      <c r="AT30" s="270"/>
      <c r="AU30" s="270"/>
      <c r="AV30" s="270"/>
      <c r="AX30" s="65"/>
      <c r="AY30" s="270"/>
    </row>
    <row r="31" spans="1:58" s="21" customFormat="1" ht="15.75" thickBot="1" x14ac:dyDescent="0.25">
      <c r="A31" s="30"/>
      <c r="B31" s="183"/>
      <c r="D31" s="184"/>
      <c r="E31" s="95"/>
      <c r="O31" s="207"/>
      <c r="P31" s="195"/>
      <c r="Q31" s="232" t="s">
        <v>113</v>
      </c>
      <c r="R31" s="232"/>
      <c r="S31" s="233">
        <f>+IF(SUM(AO28:AR28)&lt;0,T27-10000,T27)</f>
        <v>3496631.9595358493</v>
      </c>
      <c r="T31" s="180"/>
      <c r="U31" s="273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Q31" s="182" t="s">
        <v>43</v>
      </c>
      <c r="AR31" s="227">
        <f>+AV27+AW27+AX27</f>
        <v>528034.20622456109</v>
      </c>
      <c r="AS31" s="254"/>
      <c r="AT31" s="436"/>
      <c r="AV31" s="182" t="s">
        <v>44</v>
      </c>
      <c r="AW31" s="227">
        <f>+AY27</f>
        <v>119569.24750207184</v>
      </c>
      <c r="AX31" s="437"/>
    </row>
    <row r="32" spans="1:58" s="21" customFormat="1" ht="16.5" thickBot="1" x14ac:dyDescent="0.25">
      <c r="A32" s="30"/>
      <c r="B32" s="486" t="s">
        <v>99</v>
      </c>
      <c r="C32" s="487"/>
      <c r="D32" s="181">
        <f>+X27+Y27+Z27+AJ27+AC27+AD27+AE27+AF27+AG27+AH27</f>
        <v>0</v>
      </c>
      <c r="G32" s="180"/>
      <c r="O32" s="207"/>
      <c r="P32" s="195"/>
      <c r="Q32" s="232" t="s">
        <v>114</v>
      </c>
      <c r="R32" s="232"/>
      <c r="S32" s="234">
        <v>2.2000000000000002</v>
      </c>
      <c r="U32" s="274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Q32" s="185"/>
      <c r="AR32" s="226"/>
      <c r="AS32" s="173"/>
      <c r="AT32" s="436"/>
      <c r="AV32" s="185"/>
      <c r="AW32" s="173"/>
      <c r="AX32" s="438"/>
    </row>
    <row r="33" spans="1:55" s="21" customFormat="1" ht="15.75" thickBot="1" x14ac:dyDescent="0.25">
      <c r="A33" s="30"/>
      <c r="B33" s="183"/>
      <c r="D33" s="184"/>
      <c r="O33" s="207"/>
      <c r="P33" s="195"/>
      <c r="Q33" s="235" t="s">
        <v>115</v>
      </c>
      <c r="R33" s="232"/>
      <c r="S33" s="241">
        <f>+S31*S32/100</f>
        <v>76925.903109788691</v>
      </c>
      <c r="T33" s="180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Q33" s="182" t="s">
        <v>45</v>
      </c>
      <c r="AR33" s="227">
        <f>SUM(AO27:AT27)+SUM(AO28:AR28)</f>
        <v>671594.66359953722</v>
      </c>
      <c r="AS33" s="254"/>
      <c r="AT33" s="436"/>
      <c r="AV33" s="182" t="s">
        <v>100</v>
      </c>
      <c r="AW33" s="227">
        <f>+AU27</f>
        <v>239138.49500414368</v>
      </c>
      <c r="AX33" s="437"/>
      <c r="BA33" s="180"/>
    </row>
    <row r="34" spans="1:55" s="21" customFormat="1" ht="16.5" thickBot="1" x14ac:dyDescent="0.25">
      <c r="A34" s="30"/>
      <c r="B34" s="486" t="s">
        <v>47</v>
      </c>
      <c r="C34" s="487"/>
      <c r="D34" s="181">
        <f>+'1º QUINCENA'!AI29+'2º QUINCENA'!AJ10</f>
        <v>0</v>
      </c>
      <c r="G34" s="95"/>
      <c r="H34" s="95"/>
      <c r="I34" s="95"/>
      <c r="J34" s="95"/>
      <c r="K34" s="95"/>
      <c r="L34" s="95"/>
      <c r="M34" s="95"/>
      <c r="N34" s="95"/>
      <c r="O34" s="95"/>
      <c r="Q34" s="232"/>
      <c r="R34" s="232"/>
      <c r="S34" s="232"/>
      <c r="T34" s="180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Q34" s="185"/>
      <c r="AR34" s="226"/>
      <c r="AS34" s="173"/>
      <c r="AT34" s="436"/>
      <c r="AV34" s="185"/>
      <c r="AW34" s="226"/>
      <c r="AX34" s="438"/>
      <c r="BC34"/>
    </row>
    <row r="35" spans="1:55" s="21" customFormat="1" ht="15.75" thickBot="1" x14ac:dyDescent="0.25">
      <c r="A35" s="30"/>
      <c r="B35" s="186"/>
      <c r="C35" s="96"/>
      <c r="D35" s="187"/>
      <c r="O35" s="95"/>
      <c r="Q35" s="232"/>
      <c r="R35" s="232"/>
      <c r="S35" s="233"/>
      <c r="T35" s="180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Q35" s="182" t="s">
        <v>46</v>
      </c>
      <c r="AR35" s="227">
        <f>+BB27</f>
        <v>818.62000000000023</v>
      </c>
      <c r="AS35" s="254"/>
      <c r="AT35" s="180"/>
      <c r="AV35" s="182" t="s">
        <v>8</v>
      </c>
      <c r="AW35" s="227">
        <f>+AZ27+BA27</f>
        <v>351581.81035891507</v>
      </c>
      <c r="AX35" s="437">
        <v>199593.84</v>
      </c>
      <c r="BC35"/>
    </row>
    <row r="36" spans="1:55" s="21" customFormat="1" ht="13.5" thickBot="1" x14ac:dyDescent="0.25">
      <c r="A36" s="30"/>
      <c r="O36" s="95"/>
      <c r="P36" s="30"/>
      <c r="Q36" s="232"/>
      <c r="R36" s="232"/>
      <c r="S36" s="234"/>
      <c r="U36" s="30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R36" s="180"/>
      <c r="AS36" s="180"/>
      <c r="AT36" s="180"/>
      <c r="AW36" s="180"/>
      <c r="AX36" s="438">
        <f>+AX35-AW35</f>
        <v>-151987.97035891507</v>
      </c>
      <c r="BC36"/>
    </row>
    <row r="37" spans="1:55" s="21" customFormat="1" ht="16.5" thickBot="1" x14ac:dyDescent="0.25">
      <c r="A37" s="30"/>
      <c r="C37" s="95"/>
      <c r="D37" s="95"/>
      <c r="E37" s="95"/>
      <c r="O37" s="95"/>
      <c r="P37" s="30"/>
      <c r="Q37" s="235"/>
      <c r="R37" s="232"/>
      <c r="S37" s="241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Q37" s="66" t="s">
        <v>18</v>
      </c>
      <c r="AR37" s="227">
        <f>+AR31+AR33+AR35+AW31+AW33+AW35</f>
        <v>1910737.0426892289</v>
      </c>
      <c r="AV37" s="182" t="s">
        <v>101</v>
      </c>
      <c r="AW37" s="228"/>
      <c r="AX37" s="7"/>
      <c r="BC37"/>
    </row>
    <row r="38" spans="1:55" ht="24" customHeight="1" thickBot="1" x14ac:dyDescent="0.25">
      <c r="T38" s="236"/>
      <c r="U38" s="21"/>
      <c r="AP38" s="251" t="s">
        <v>104</v>
      </c>
      <c r="AQ38" s="21"/>
      <c r="AR38" s="21"/>
      <c r="AS38" s="21"/>
      <c r="AT38" s="21"/>
      <c r="AU38" s="21"/>
      <c r="AV38" s="21"/>
      <c r="AW38" s="21"/>
      <c r="AX38" s="30"/>
      <c r="BC38"/>
    </row>
    <row r="39" spans="1:55" ht="24" customHeight="1" thickBot="1" x14ac:dyDescent="0.3">
      <c r="Q39" s="239" t="s">
        <v>118</v>
      </c>
      <c r="S39" s="241">
        <f>+S37+S33</f>
        <v>76925.903109788691</v>
      </c>
      <c r="AQ39" s="252"/>
      <c r="AR39" s="229">
        <f>AR37-AW37</f>
        <v>1910737.0426892289</v>
      </c>
      <c r="AS39" s="254"/>
      <c r="AT39" s="180"/>
      <c r="AX39" s="30"/>
      <c r="AY39" s="26">
        <f>+Q8*0.03/65*100</f>
        <v>6144.7398461538451</v>
      </c>
      <c r="BC39"/>
    </row>
    <row r="40" spans="1:55" ht="24" customHeight="1" x14ac:dyDescent="0.2">
      <c r="R40" s="237" t="s">
        <v>116</v>
      </c>
      <c r="S40" s="238">
        <f>+S31+S35-T27-SUM(AO28:AR28)/0.18</f>
        <v>0</v>
      </c>
      <c r="AR40" s="444">
        <v>1587604.16</v>
      </c>
      <c r="AS40" s="21"/>
      <c r="AT40" s="180"/>
      <c r="AU40" s="21"/>
      <c r="AV40" s="30"/>
      <c r="AW40" s="30"/>
      <c r="AY40" s="27">
        <f>+AX8+AY8</f>
        <v>6144.7398461538451</v>
      </c>
      <c r="BC40"/>
    </row>
    <row r="41" spans="1:55" ht="24" customHeight="1" x14ac:dyDescent="0.2">
      <c r="R41" s="27"/>
      <c r="S41" s="27"/>
      <c r="T41" s="27"/>
      <c r="AR41" s="27">
        <f>+AR39-AR40</f>
        <v>323132.88268922898</v>
      </c>
      <c r="AY41" s="26">
        <f>+Q8*0.03</f>
        <v>3994.080899999999</v>
      </c>
      <c r="BC41"/>
    </row>
    <row r="42" spans="1:55" ht="19.5" customHeight="1" x14ac:dyDescent="0.2">
      <c r="AY42" s="27">
        <f>+AY40-AY41</f>
        <v>2150.658946153846</v>
      </c>
      <c r="BC42"/>
    </row>
    <row r="43" spans="1:55" ht="12.75" customHeight="1" x14ac:dyDescent="0.2">
      <c r="BC43"/>
    </row>
    <row r="44" spans="1:55" ht="12.75" customHeight="1" x14ac:dyDescent="0.2">
      <c r="BC44"/>
    </row>
    <row r="45" spans="1:55" ht="18.75" customHeight="1" x14ac:dyDescent="0.2">
      <c r="BC45"/>
    </row>
    <row r="46" spans="1:55" ht="12.75" customHeight="1" x14ac:dyDescent="0.2">
      <c r="BC46"/>
    </row>
    <row r="47" spans="1:55" ht="12.75" customHeight="1" x14ac:dyDescent="0.2">
      <c r="BC47"/>
    </row>
    <row r="48" spans="1:55" ht="12.75" customHeight="1" x14ac:dyDescent="0.2">
      <c r="BC48"/>
    </row>
    <row r="49" spans="55:55" ht="12.75" customHeight="1" x14ac:dyDescent="0.2">
      <c r="BC49"/>
    </row>
    <row r="50" spans="55:55" ht="12.75" customHeight="1" x14ac:dyDescent="0.2">
      <c r="BC50"/>
    </row>
    <row r="51" spans="55:55" ht="12.75" customHeight="1" x14ac:dyDescent="0.2">
      <c r="BC51"/>
    </row>
    <row r="53" spans="55:55" ht="12.75" customHeight="1" x14ac:dyDescent="0.2">
      <c r="BC53" s="26">
        <f>SUM(BC34:BC51)</f>
        <v>0</v>
      </c>
    </row>
    <row r="65522" spans="6:6" x14ac:dyDescent="0.2">
      <c r="F65522" s="27"/>
    </row>
  </sheetData>
  <autoFilter ref="A4:BF34"/>
  <mergeCells count="23">
    <mergeCell ref="BD3:BD4"/>
    <mergeCell ref="BE3:BE4"/>
    <mergeCell ref="AA2:AH2"/>
    <mergeCell ref="V3:Z3"/>
    <mergeCell ref="AA3:AA4"/>
    <mergeCell ref="AB3:AB4"/>
    <mergeCell ref="AC3:AC4"/>
    <mergeCell ref="AD3:AD4"/>
    <mergeCell ref="AE3:AE4"/>
    <mergeCell ref="AF3:AF4"/>
    <mergeCell ref="AG3:AG4"/>
    <mergeCell ref="AH3:AH4"/>
    <mergeCell ref="AZ3:BA3"/>
    <mergeCell ref="AO3:AT3"/>
    <mergeCell ref="AU3:AU4"/>
    <mergeCell ref="AV3:AX3"/>
    <mergeCell ref="AY3:AY4"/>
    <mergeCell ref="AK3:AN3"/>
    <mergeCell ref="B32:C32"/>
    <mergeCell ref="B34:C34"/>
    <mergeCell ref="B30:C30"/>
    <mergeCell ref="AI3:AJ3"/>
    <mergeCell ref="K3:N3"/>
  </mergeCells>
  <pageMargins left="0.15748031496062992" right="0.15748031496062992" top="0.59055118110236227" bottom="0.35433070866141736" header="0.31496062992125984" footer="0.31496062992125984"/>
  <pageSetup paperSize="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8" sqref="E8"/>
    </sheetView>
  </sheetViews>
  <sheetFormatPr baseColWidth="10" defaultRowHeight="12.75" x14ac:dyDescent="0.2"/>
  <cols>
    <col min="1" max="1" width="24.7109375" style="355" customWidth="1"/>
    <col min="2" max="16384" width="11.42578125" style="355"/>
  </cols>
  <sheetData>
    <row r="1" spans="1:2" x14ac:dyDescent="0.2">
      <c r="A1" s="520" t="s">
        <v>1</v>
      </c>
      <c r="B1" s="522" t="s">
        <v>238</v>
      </c>
    </row>
    <row r="2" spans="1:2" x14ac:dyDescent="0.2">
      <c r="A2" s="521"/>
      <c r="B2" s="523"/>
    </row>
    <row r="3" spans="1:2" x14ac:dyDescent="0.2">
      <c r="A3" s="387" t="s">
        <v>146</v>
      </c>
      <c r="B3" s="433">
        <v>14</v>
      </c>
    </row>
    <row r="4" spans="1:2" x14ac:dyDescent="0.2">
      <c r="A4" s="387" t="s">
        <v>149</v>
      </c>
      <c r="B4" s="433">
        <v>14</v>
      </c>
    </row>
    <row r="5" spans="1:2" x14ac:dyDescent="0.2">
      <c r="A5" s="387" t="s">
        <v>150</v>
      </c>
      <c r="B5" s="433">
        <v>14</v>
      </c>
    </row>
    <row r="6" spans="1:2" x14ac:dyDescent="0.2">
      <c r="A6" s="387" t="s">
        <v>151</v>
      </c>
      <c r="B6" s="433">
        <v>14</v>
      </c>
    </row>
    <row r="7" spans="1:2" x14ac:dyDescent="0.2">
      <c r="A7" s="387" t="s">
        <v>153</v>
      </c>
      <c r="B7" s="433">
        <v>14</v>
      </c>
    </row>
    <row r="8" spans="1:2" x14ac:dyDescent="0.2">
      <c r="A8" s="387" t="s">
        <v>154</v>
      </c>
      <c r="B8" s="433">
        <v>14</v>
      </c>
    </row>
    <row r="9" spans="1:2" x14ac:dyDescent="0.2">
      <c r="A9" s="387" t="s">
        <v>155</v>
      </c>
      <c r="B9" s="433">
        <v>14</v>
      </c>
    </row>
    <row r="10" spans="1:2" x14ac:dyDescent="0.2">
      <c r="A10" s="387" t="s">
        <v>156</v>
      </c>
      <c r="B10" s="433">
        <v>14</v>
      </c>
    </row>
    <row r="11" spans="1:2" x14ac:dyDescent="0.2">
      <c r="A11" s="387" t="s">
        <v>157</v>
      </c>
      <c r="B11" s="433">
        <v>14</v>
      </c>
    </row>
    <row r="12" spans="1:2" x14ac:dyDescent="0.2">
      <c r="A12" s="387" t="s">
        <v>158</v>
      </c>
      <c r="B12" s="433">
        <v>14</v>
      </c>
    </row>
    <row r="13" spans="1:2" x14ac:dyDescent="0.2">
      <c r="A13" s="387" t="s">
        <v>159</v>
      </c>
      <c r="B13" s="433">
        <v>14</v>
      </c>
    </row>
    <row r="14" spans="1:2" x14ac:dyDescent="0.2">
      <c r="A14" s="387" t="s">
        <v>160</v>
      </c>
      <c r="B14" s="433">
        <v>14</v>
      </c>
    </row>
    <row r="15" spans="1:2" x14ac:dyDescent="0.2">
      <c r="A15" s="387" t="s">
        <v>161</v>
      </c>
      <c r="B15" s="433">
        <v>14</v>
      </c>
    </row>
    <row r="16" spans="1:2" x14ac:dyDescent="0.2">
      <c r="A16" s="387" t="s">
        <v>162</v>
      </c>
      <c r="B16" s="433">
        <v>14</v>
      </c>
    </row>
    <row r="17" spans="1:2" x14ac:dyDescent="0.2">
      <c r="A17" s="387" t="s">
        <v>163</v>
      </c>
      <c r="B17" s="433">
        <v>14</v>
      </c>
    </row>
    <row r="18" spans="1:2" x14ac:dyDescent="0.2">
      <c r="A18" s="387" t="s">
        <v>164</v>
      </c>
      <c r="B18" s="433">
        <v>14</v>
      </c>
    </row>
    <row r="19" spans="1:2" x14ac:dyDescent="0.2">
      <c r="A19" s="387" t="s">
        <v>166</v>
      </c>
      <c r="B19" s="433">
        <v>14</v>
      </c>
    </row>
    <row r="20" spans="1:2" x14ac:dyDescent="0.2">
      <c r="A20" s="387" t="s">
        <v>167</v>
      </c>
      <c r="B20" s="433">
        <v>14</v>
      </c>
    </row>
    <row r="21" spans="1:2" x14ac:dyDescent="0.2">
      <c r="A21" s="387" t="s">
        <v>165</v>
      </c>
      <c r="B21" s="433">
        <v>14</v>
      </c>
    </row>
    <row r="22" spans="1:2" x14ac:dyDescent="0.2">
      <c r="A22" s="357" t="s">
        <v>219</v>
      </c>
      <c r="B22" s="433">
        <v>5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pane xSplit="7" ySplit="6" topLeftCell="M15" activePane="bottomRight" state="frozen"/>
      <selection pane="topRight" activeCell="G1" sqref="G1"/>
      <selection pane="bottomLeft" activeCell="A7" sqref="A7"/>
      <selection pane="bottomRight" activeCell="R27" sqref="R27"/>
    </sheetView>
  </sheetViews>
  <sheetFormatPr baseColWidth="10" defaultRowHeight="15.75" customHeight="1" x14ac:dyDescent="0.2"/>
  <cols>
    <col min="1" max="1" width="3" style="402" customWidth="1"/>
    <col min="2" max="2" width="4.42578125" style="402" customWidth="1"/>
    <col min="3" max="3" width="29.7109375" style="403" bestFit="1" customWidth="1"/>
    <col min="4" max="4" width="12" style="403" customWidth="1"/>
    <col min="5" max="5" width="7.140625" style="403" customWidth="1"/>
    <col min="6" max="6" width="15.28515625" style="403" customWidth="1"/>
    <col min="7" max="7" width="11" style="403" customWidth="1"/>
    <col min="8" max="10" width="11" style="402" customWidth="1"/>
    <col min="11" max="14" width="13.140625" style="402" customWidth="1"/>
    <col min="15" max="15" width="11.85546875" style="403" customWidth="1"/>
    <col min="16" max="16" width="11.28515625" style="403" customWidth="1"/>
    <col min="17" max="17" width="12.28515625" style="403" customWidth="1"/>
    <col min="18" max="19" width="13.7109375" style="403" customWidth="1"/>
    <col min="20" max="20" width="13.42578125" style="403" customWidth="1"/>
    <col min="21" max="21" width="13.5703125" style="403" customWidth="1"/>
    <col min="22" max="16384" width="11.42578125" style="403"/>
  </cols>
  <sheetData>
    <row r="1" spans="1:25" ht="18" x14ac:dyDescent="0.25">
      <c r="A1" s="401" t="str">
        <f>+'CARGAS SOCIALES'!A1</f>
        <v>COOP AGRICOLA GANADERA AARON CASTELLANOS</v>
      </c>
    </row>
    <row r="2" spans="1:25" ht="15.75" customHeight="1" x14ac:dyDescent="0.2">
      <c r="A2" s="404"/>
      <c r="O2" s="405">
        <v>44926</v>
      </c>
      <c r="Q2" s="235"/>
    </row>
    <row r="3" spans="1:25" ht="15.75" customHeight="1" x14ac:dyDescent="0.2">
      <c r="A3" s="404"/>
      <c r="B3" s="525" t="s">
        <v>221</v>
      </c>
      <c r="C3" s="526"/>
      <c r="D3" s="527"/>
      <c r="L3" s="402">
        <f>44*4</f>
        <v>176</v>
      </c>
      <c r="M3" s="192">
        <v>9871.6</v>
      </c>
      <c r="N3" s="192"/>
      <c r="O3" s="192">
        <f>9871.6*0.65</f>
        <v>6416.5400000000009</v>
      </c>
      <c r="P3" s="403">
        <f>29*4</f>
        <v>116</v>
      </c>
    </row>
    <row r="4" spans="1:25" ht="15.75" customHeight="1" x14ac:dyDescent="0.2">
      <c r="A4" s="406"/>
      <c r="B4" s="406"/>
      <c r="C4" s="407"/>
      <c r="D4" s="408"/>
      <c r="E4" s="408"/>
      <c r="F4" s="408"/>
      <c r="G4" s="408"/>
      <c r="H4" s="409"/>
      <c r="I4" s="409"/>
      <c r="J4" s="409"/>
      <c r="K4" s="409"/>
      <c r="L4" s="409"/>
      <c r="M4" s="547">
        <f>+M3/176</f>
        <v>56.088636363636368</v>
      </c>
      <c r="N4" s="547"/>
      <c r="O4" s="548">
        <f>+O3/P3</f>
        <v>55.315000000000005</v>
      </c>
      <c r="P4" s="410"/>
      <c r="Q4" s="408"/>
      <c r="R4" s="408"/>
      <c r="S4" s="408"/>
    </row>
    <row r="5" spans="1:25" ht="15.75" customHeight="1" x14ac:dyDescent="0.2">
      <c r="A5" s="528"/>
      <c r="B5" s="530" t="s">
        <v>6</v>
      </c>
      <c r="C5" s="530" t="s">
        <v>1</v>
      </c>
      <c r="D5" s="530" t="s">
        <v>222</v>
      </c>
      <c r="E5" s="532" t="s">
        <v>223</v>
      </c>
      <c r="F5" s="452"/>
      <c r="G5" s="535" t="s">
        <v>224</v>
      </c>
      <c r="H5" s="532" t="s">
        <v>225</v>
      </c>
      <c r="I5" s="532" t="s">
        <v>225</v>
      </c>
      <c r="J5" s="532" t="s">
        <v>49</v>
      </c>
      <c r="K5" s="524" t="s">
        <v>226</v>
      </c>
      <c r="L5" s="524" t="s">
        <v>227</v>
      </c>
      <c r="M5" s="454"/>
      <c r="N5" s="454"/>
      <c r="O5" s="534" t="s">
        <v>228</v>
      </c>
      <c r="P5" s="534" t="s">
        <v>229</v>
      </c>
      <c r="Q5" s="532" t="s">
        <v>143</v>
      </c>
      <c r="R5" s="532" t="s">
        <v>230</v>
      </c>
      <c r="S5" s="452" t="s">
        <v>266</v>
      </c>
      <c r="T5" s="524" t="s">
        <v>226</v>
      </c>
      <c r="U5" s="524" t="s">
        <v>227</v>
      </c>
      <c r="V5" s="534" t="s">
        <v>228</v>
      </c>
      <c r="W5" s="534" t="s">
        <v>229</v>
      </c>
      <c r="X5" s="532" t="s">
        <v>143</v>
      </c>
      <c r="Y5" s="532" t="s">
        <v>230</v>
      </c>
    </row>
    <row r="6" spans="1:25" ht="25.5" customHeight="1" x14ac:dyDescent="0.2">
      <c r="A6" s="529"/>
      <c r="B6" s="531"/>
      <c r="C6" s="531"/>
      <c r="D6" s="531"/>
      <c r="E6" s="533"/>
      <c r="F6" s="453"/>
      <c r="G6" s="536"/>
      <c r="H6" s="533"/>
      <c r="I6" s="533"/>
      <c r="J6" s="533"/>
      <c r="K6" s="524"/>
      <c r="L6" s="524"/>
      <c r="M6" s="454" t="s">
        <v>261</v>
      </c>
      <c r="N6" s="454" t="s">
        <v>264</v>
      </c>
      <c r="O6" s="534"/>
      <c r="P6" s="534"/>
      <c r="Q6" s="533"/>
      <c r="R6" s="533"/>
      <c r="S6" s="453" t="s">
        <v>265</v>
      </c>
      <c r="T6" s="524"/>
      <c r="U6" s="524"/>
      <c r="V6" s="534"/>
      <c r="W6" s="534"/>
      <c r="X6" s="533"/>
      <c r="Y6" s="533"/>
    </row>
    <row r="7" spans="1:25" s="77" customFormat="1" ht="18" customHeight="1" x14ac:dyDescent="0.2">
      <c r="A7" s="279">
        <v>1</v>
      </c>
      <c r="B7" s="279">
        <v>1</v>
      </c>
      <c r="C7" s="277" t="s">
        <v>146</v>
      </c>
      <c r="D7" s="278">
        <v>44710</v>
      </c>
      <c r="E7" s="411">
        <f t="shared" ref="E7:E23" si="0">DATEDIF(D7,$O$2,"y")</f>
        <v>0</v>
      </c>
      <c r="F7" s="411" t="str">
        <f>+'CARGAS SOCIALES'!E5</f>
        <v>ADM INICIAL</v>
      </c>
      <c r="G7" s="412">
        <f t="shared" ref="G7:G20" si="1">IF(E7&gt;=20,35,IF(AND(E7&gt;=10,E7&lt;20),28,IF(AND(E7&gt;=5,E7&lt;10),21,IF(E7&lt;5,14,0))))</f>
        <v>14</v>
      </c>
      <c r="H7" s="280">
        <v>7</v>
      </c>
      <c r="I7" s="280"/>
      <c r="J7" s="413">
        <f>G7-H7-I7</f>
        <v>7</v>
      </c>
      <c r="K7" s="278">
        <v>44928</v>
      </c>
      <c r="L7" s="278">
        <v>44934</v>
      </c>
      <c r="M7" s="549">
        <v>382431.13500000001</v>
      </c>
      <c r="N7" s="278"/>
      <c r="O7" s="414">
        <f>+M7/25*H7</f>
        <v>107080.7178</v>
      </c>
      <c r="P7" s="414"/>
      <c r="Q7" s="414">
        <f>+O7*0.175+O7*0.03</f>
        <v>21951.547148999998</v>
      </c>
      <c r="R7" s="416">
        <f>+ROUNDUP(O7+P7-Q7,0)</f>
        <v>85130</v>
      </c>
      <c r="S7" s="416">
        <f>+M7</f>
        <v>382431.13500000001</v>
      </c>
      <c r="T7" s="278"/>
      <c r="U7" s="278"/>
      <c r="V7" s="414"/>
      <c r="W7" s="414"/>
      <c r="X7" s="414"/>
      <c r="Y7" s="415">
        <f>+V7</f>
        <v>0</v>
      </c>
    </row>
    <row r="8" spans="1:25" s="77" customFormat="1" ht="18" customHeight="1" x14ac:dyDescent="0.2">
      <c r="A8" s="279">
        <f>+A7+1</f>
        <v>2</v>
      </c>
      <c r="B8" s="279">
        <v>3</v>
      </c>
      <c r="C8" s="544" t="s">
        <v>149</v>
      </c>
      <c r="D8" s="278">
        <v>44710</v>
      </c>
      <c r="E8" s="411">
        <f t="shared" si="0"/>
        <v>0</v>
      </c>
      <c r="F8" s="411" t="str">
        <f>+'CARGAS SOCIALES'!E6</f>
        <v>CALIF PROD</v>
      </c>
      <c r="G8" s="412">
        <f t="shared" si="1"/>
        <v>14</v>
      </c>
      <c r="H8" s="280">
        <v>7</v>
      </c>
      <c r="I8" s="280"/>
      <c r="J8" s="413">
        <f t="shared" ref="J8:J23" si="2">G8-H8-I8</f>
        <v>7</v>
      </c>
      <c r="K8" s="278">
        <v>44928</v>
      </c>
      <c r="L8" s="278">
        <v>44934</v>
      </c>
      <c r="M8" s="546">
        <f>819.6</f>
        <v>819.6</v>
      </c>
      <c r="N8" s="546">
        <v>56.088636363636368</v>
      </c>
      <c r="O8" s="414">
        <f>+(M8+N8)*8*H8</f>
        <v>49038.563636363637</v>
      </c>
      <c r="P8" s="414"/>
      <c r="Q8" s="414">
        <f>+O8*0.175+O8*0.03/'1º QUINCENA'!G9*100</f>
        <v>10052.905545454545</v>
      </c>
      <c r="R8" s="416">
        <f>+ROUNDUP(O8+P8-Q8,0)</f>
        <v>38986</v>
      </c>
      <c r="S8" s="416">
        <f>+(M8+N8)*8*25</f>
        <v>175137.72727272729</v>
      </c>
      <c r="T8" s="278"/>
      <c r="U8" s="278"/>
      <c r="V8" s="414"/>
      <c r="W8" s="414"/>
      <c r="X8" s="414">
        <f>+V8*0.195+W8*0.025</f>
        <v>0</v>
      </c>
      <c r="Y8" s="416">
        <f t="shared" ref="Y8" si="3">+ROUNDUP(V8+W8-X8,0)</f>
        <v>0</v>
      </c>
    </row>
    <row r="9" spans="1:25" s="77" customFormat="1" ht="18" customHeight="1" x14ac:dyDescent="0.2">
      <c r="A9" s="279">
        <f t="shared" ref="A9:A16" si="4">+A8+1</f>
        <v>3</v>
      </c>
      <c r="B9" s="279">
        <v>4</v>
      </c>
      <c r="C9" s="277" t="s">
        <v>150</v>
      </c>
      <c r="D9" s="278">
        <v>44710</v>
      </c>
      <c r="E9" s="411">
        <f t="shared" si="0"/>
        <v>0</v>
      </c>
      <c r="F9" s="411" t="str">
        <f>+'CARGAS SOCIALES'!E7</f>
        <v>CALIF PROD</v>
      </c>
      <c r="G9" s="412">
        <f t="shared" si="1"/>
        <v>14</v>
      </c>
      <c r="H9" s="280">
        <v>7</v>
      </c>
      <c r="I9" s="280"/>
      <c r="J9" s="413">
        <f t="shared" si="2"/>
        <v>7</v>
      </c>
      <c r="K9" s="278">
        <v>44928</v>
      </c>
      <c r="L9" s="278">
        <v>44934</v>
      </c>
      <c r="M9" s="546">
        <v>819.6</v>
      </c>
      <c r="N9" s="546">
        <v>56.088636363636368</v>
      </c>
      <c r="O9" s="414">
        <f>+(M9+N9)*5*H9</f>
        <v>30649.102272727272</v>
      </c>
      <c r="P9" s="414"/>
      <c r="Q9" s="414">
        <f>+O9*0.175+O9*0.03/'1º QUINCENA'!G10*100</f>
        <v>6778.1668487762236</v>
      </c>
      <c r="R9" s="416">
        <f t="shared" ref="R9:R24" si="5">+ROUNDUP(O9+P9-Q9,0)</f>
        <v>23871</v>
      </c>
      <c r="S9" s="416">
        <f>+(M9+N9)*5*25</f>
        <v>109461.07954545454</v>
      </c>
      <c r="T9" s="278"/>
      <c r="U9" s="278"/>
      <c r="V9" s="414"/>
      <c r="W9" s="414"/>
      <c r="X9" s="414">
        <f>+V9*0.17</f>
        <v>0</v>
      </c>
      <c r="Y9" s="415">
        <f>+V9-X9</f>
        <v>0</v>
      </c>
    </row>
    <row r="10" spans="1:25" s="77" customFormat="1" ht="18" customHeight="1" x14ac:dyDescent="0.2">
      <c r="A10" s="279">
        <f t="shared" si="4"/>
        <v>4</v>
      </c>
      <c r="B10" s="279">
        <v>5</v>
      </c>
      <c r="C10" s="277" t="s">
        <v>151</v>
      </c>
      <c r="D10" s="278">
        <v>44710</v>
      </c>
      <c r="E10" s="411">
        <f t="shared" si="0"/>
        <v>0</v>
      </c>
      <c r="F10" s="411" t="str">
        <f>+'CARGAS SOCIALES'!E8</f>
        <v>CALIF PROD</v>
      </c>
      <c r="G10" s="412">
        <f t="shared" si="1"/>
        <v>14</v>
      </c>
      <c r="H10" s="280">
        <v>7</v>
      </c>
      <c r="I10" s="280"/>
      <c r="J10" s="413">
        <f t="shared" si="2"/>
        <v>7</v>
      </c>
      <c r="K10" s="278">
        <v>44928</v>
      </c>
      <c r="L10" s="278">
        <v>44934</v>
      </c>
      <c r="M10" s="546">
        <v>819.6</v>
      </c>
      <c r="N10" s="546">
        <v>56.088636363636368</v>
      </c>
      <c r="O10" s="414">
        <f t="shared" ref="O10:O12" si="6">+(M10+N10)*5*H10</f>
        <v>30649.102272727272</v>
      </c>
      <c r="P10" s="414"/>
      <c r="Q10" s="414">
        <f>+O10*0.175+O10*0.03/'1º QUINCENA'!G11*100</f>
        <v>6778.1668487762236</v>
      </c>
      <c r="R10" s="416">
        <f t="shared" si="5"/>
        <v>23871</v>
      </c>
      <c r="S10" s="416">
        <f t="shared" ref="S10:S12" si="7">+(M10+N10)*5*25</f>
        <v>109461.07954545454</v>
      </c>
      <c r="T10" s="417"/>
      <c r="U10" s="417"/>
      <c r="V10" s="414"/>
      <c r="W10" s="414"/>
      <c r="X10" s="414"/>
      <c r="Y10" s="415"/>
    </row>
    <row r="11" spans="1:25" s="77" customFormat="1" ht="18" customHeight="1" x14ac:dyDescent="0.2">
      <c r="A11" s="279">
        <f t="shared" si="4"/>
        <v>5</v>
      </c>
      <c r="B11" s="279">
        <v>7</v>
      </c>
      <c r="C11" s="277" t="s">
        <v>153</v>
      </c>
      <c r="D11" s="278">
        <v>44710</v>
      </c>
      <c r="E11" s="411">
        <f t="shared" si="0"/>
        <v>0</v>
      </c>
      <c r="F11" s="411" t="str">
        <f>+'CARGAS SOCIALES'!E9</f>
        <v>PEON PRACTICO PROD</v>
      </c>
      <c r="G11" s="412">
        <f t="shared" si="1"/>
        <v>14</v>
      </c>
      <c r="H11" s="280">
        <v>7</v>
      </c>
      <c r="I11" s="280"/>
      <c r="J11" s="413">
        <f t="shared" si="2"/>
        <v>7</v>
      </c>
      <c r="K11" s="278">
        <v>44928</v>
      </c>
      <c r="L11" s="278">
        <v>44934</v>
      </c>
      <c r="M11" s="546">
        <v>743.4</v>
      </c>
      <c r="N11" s="546">
        <v>56.088636363636368</v>
      </c>
      <c r="O11" s="414">
        <f t="shared" si="6"/>
        <v>27982.102272727272</v>
      </c>
      <c r="P11" s="414"/>
      <c r="Q11" s="414">
        <f>+O11*0.175+O11*0.03/'1º QUINCENA'!G12*100</f>
        <v>6188.349541083915</v>
      </c>
      <c r="R11" s="416">
        <f t="shared" si="5"/>
        <v>21794</v>
      </c>
      <c r="S11" s="416">
        <f t="shared" si="7"/>
        <v>99936.079545454544</v>
      </c>
      <c r="T11" s="278"/>
      <c r="U11" s="278"/>
      <c r="V11" s="414"/>
      <c r="W11" s="414"/>
      <c r="X11" s="414">
        <f>+V11*0.165+W11*0.025+(V11+W11)/'[1]CARGAS SOCIALES'!N9*100*0.03</f>
        <v>0</v>
      </c>
      <c r="Y11" s="416">
        <f>+ROUNDUP(V11+W11-X11,0)</f>
        <v>0</v>
      </c>
    </row>
    <row r="12" spans="1:25" s="77" customFormat="1" ht="18" customHeight="1" x14ac:dyDescent="0.2">
      <c r="A12" s="279">
        <f t="shared" si="4"/>
        <v>6</v>
      </c>
      <c r="B12" s="279">
        <v>8</v>
      </c>
      <c r="C12" s="277" t="s">
        <v>154</v>
      </c>
      <c r="D12" s="278">
        <v>44710</v>
      </c>
      <c r="E12" s="411">
        <f t="shared" si="0"/>
        <v>0</v>
      </c>
      <c r="F12" s="411" t="str">
        <f>+'CARGAS SOCIALES'!E10</f>
        <v>CALIF PROD</v>
      </c>
      <c r="G12" s="412">
        <f t="shared" si="1"/>
        <v>14</v>
      </c>
      <c r="H12" s="280">
        <v>7</v>
      </c>
      <c r="I12" s="280"/>
      <c r="J12" s="413">
        <f t="shared" si="2"/>
        <v>7</v>
      </c>
      <c r="K12" s="278">
        <v>44928</v>
      </c>
      <c r="L12" s="278">
        <v>44934</v>
      </c>
      <c r="M12" s="546">
        <v>819.6</v>
      </c>
      <c r="N12" s="546">
        <v>56.088636363636368</v>
      </c>
      <c r="O12" s="414">
        <f t="shared" si="6"/>
        <v>30649.102272727272</v>
      </c>
      <c r="P12" s="414"/>
      <c r="Q12" s="414">
        <f>+O12*0.175+O12*0.03/'1º QUINCENA'!G13*100</f>
        <v>6778.1668487762236</v>
      </c>
      <c r="R12" s="416">
        <f t="shared" si="5"/>
        <v>23871</v>
      </c>
      <c r="S12" s="416">
        <f t="shared" si="7"/>
        <v>109461.07954545454</v>
      </c>
      <c r="T12" s="278"/>
      <c r="U12" s="278"/>
      <c r="V12" s="414"/>
      <c r="W12" s="414"/>
      <c r="X12" s="414">
        <f>+V12*0.195+W12*0.055</f>
        <v>0</v>
      </c>
      <c r="Y12" s="416">
        <f t="shared" ref="Y12:Y16" si="8">+ROUNDUP(V12+W12-X12,0)</f>
        <v>0</v>
      </c>
    </row>
    <row r="13" spans="1:25" s="77" customFormat="1" ht="18" customHeight="1" x14ac:dyDescent="0.2">
      <c r="A13" s="279">
        <f t="shared" si="4"/>
        <v>7</v>
      </c>
      <c r="B13" s="279">
        <v>9</v>
      </c>
      <c r="C13" s="544" t="s">
        <v>155</v>
      </c>
      <c r="D13" s="278">
        <v>44710</v>
      </c>
      <c r="E13" s="411">
        <f t="shared" si="0"/>
        <v>0</v>
      </c>
      <c r="F13" s="411" t="str">
        <f>+'CARGAS SOCIALES'!E11</f>
        <v>ESPECIALIZADO ING</v>
      </c>
      <c r="G13" s="412">
        <f t="shared" si="1"/>
        <v>14</v>
      </c>
      <c r="H13" s="280">
        <v>7</v>
      </c>
      <c r="I13" s="280"/>
      <c r="J13" s="413">
        <f t="shared" si="2"/>
        <v>7</v>
      </c>
      <c r="K13" s="278">
        <v>44928</v>
      </c>
      <c r="L13" s="278">
        <v>44934</v>
      </c>
      <c r="M13" s="546">
        <v>903.61</v>
      </c>
      <c r="N13" s="546">
        <v>56.088636363636368</v>
      </c>
      <c r="O13" s="414">
        <f>+(M13+N13)*8*H13</f>
        <v>53743.123636363642</v>
      </c>
      <c r="P13" s="414"/>
      <c r="Q13" s="414">
        <f>+O13*0.175+O13*0.03/'1º QUINCENA'!G14*100</f>
        <v>11017.340345454546</v>
      </c>
      <c r="R13" s="416">
        <f t="shared" si="5"/>
        <v>42726</v>
      </c>
      <c r="S13" s="416">
        <f>+(M13+N13)*8*25</f>
        <v>191939.72727272729</v>
      </c>
      <c r="T13" s="278"/>
      <c r="U13" s="278"/>
      <c r="V13" s="414"/>
      <c r="W13" s="414"/>
      <c r="X13" s="414">
        <f>+V13*0.165+W13*0.025+(V13)*0.03</f>
        <v>0</v>
      </c>
      <c r="Y13" s="416">
        <f t="shared" si="8"/>
        <v>0</v>
      </c>
    </row>
    <row r="14" spans="1:25" s="77" customFormat="1" ht="18" customHeight="1" x14ac:dyDescent="0.2">
      <c r="A14" s="279">
        <f t="shared" si="4"/>
        <v>8</v>
      </c>
      <c r="B14" s="279">
        <v>10</v>
      </c>
      <c r="C14" s="277" t="s">
        <v>156</v>
      </c>
      <c r="D14" s="278">
        <v>44710</v>
      </c>
      <c r="E14" s="411">
        <f t="shared" si="0"/>
        <v>0</v>
      </c>
      <c r="F14" s="411" t="str">
        <f>+'CARGAS SOCIALES'!E12</f>
        <v>CALIF PROD</v>
      </c>
      <c r="G14" s="412">
        <f t="shared" si="1"/>
        <v>14</v>
      </c>
      <c r="H14" s="280">
        <v>7</v>
      </c>
      <c r="I14" s="280"/>
      <c r="J14" s="413">
        <f t="shared" si="2"/>
        <v>7</v>
      </c>
      <c r="K14" s="278">
        <v>44928</v>
      </c>
      <c r="L14" s="278">
        <v>44934</v>
      </c>
      <c r="M14" s="546">
        <v>819.6</v>
      </c>
      <c r="N14" s="546">
        <v>56.088636363636368</v>
      </c>
      <c r="O14" s="414">
        <f t="shared" ref="O14:O17" si="9">+(M14+N14)*5*H14</f>
        <v>30649.102272727272</v>
      </c>
      <c r="P14" s="414"/>
      <c r="Q14" s="414">
        <f>+O14*0.175+O14*0.03/'1º QUINCENA'!G15*100</f>
        <v>6778.1668487762236</v>
      </c>
      <c r="R14" s="416">
        <f t="shared" si="5"/>
        <v>23871</v>
      </c>
      <c r="S14" s="416">
        <f t="shared" ref="S14:S17" si="10">+(M14+N14)*5*25</f>
        <v>109461.07954545454</v>
      </c>
      <c r="T14" s="278"/>
      <c r="U14" s="278"/>
      <c r="V14" s="414"/>
      <c r="W14" s="414"/>
      <c r="X14" s="414">
        <f>+V14*0.195+W14*0.025</f>
        <v>0</v>
      </c>
      <c r="Y14" s="416">
        <f t="shared" si="8"/>
        <v>0</v>
      </c>
    </row>
    <row r="15" spans="1:25" s="77" customFormat="1" ht="18" customHeight="1" x14ac:dyDescent="0.2">
      <c r="A15" s="279">
        <f t="shared" si="4"/>
        <v>9</v>
      </c>
      <c r="B15" s="279">
        <v>11</v>
      </c>
      <c r="C15" s="277" t="s">
        <v>157</v>
      </c>
      <c r="D15" s="278">
        <v>44710</v>
      </c>
      <c r="E15" s="411">
        <f t="shared" si="0"/>
        <v>0</v>
      </c>
      <c r="F15" s="411" t="str">
        <f>+'CARGAS SOCIALES'!E13</f>
        <v>PEON PRACTICO PROD</v>
      </c>
      <c r="G15" s="412">
        <f t="shared" si="1"/>
        <v>14</v>
      </c>
      <c r="H15" s="280">
        <v>7</v>
      </c>
      <c r="I15" s="280"/>
      <c r="J15" s="413">
        <f t="shared" si="2"/>
        <v>7</v>
      </c>
      <c r="K15" s="278">
        <v>44928</v>
      </c>
      <c r="L15" s="278">
        <v>44934</v>
      </c>
      <c r="M15" s="546">
        <v>743.4</v>
      </c>
      <c r="N15" s="546">
        <v>56.088636363636368</v>
      </c>
      <c r="O15" s="414">
        <f t="shared" si="9"/>
        <v>27982.102272727272</v>
      </c>
      <c r="P15" s="414"/>
      <c r="Q15" s="414">
        <f>+O15*0.175+O15*0.03/'1º QUINCENA'!G16*100</f>
        <v>6188.349541083915</v>
      </c>
      <c r="R15" s="416">
        <f t="shared" si="5"/>
        <v>21794</v>
      </c>
      <c r="S15" s="416">
        <f t="shared" si="10"/>
        <v>99936.079545454544</v>
      </c>
      <c r="T15" s="278"/>
      <c r="U15" s="278"/>
      <c r="V15" s="414"/>
      <c r="W15" s="414"/>
      <c r="X15" s="414">
        <f>+V15*0.195+W15*0.055</f>
        <v>0</v>
      </c>
      <c r="Y15" s="416">
        <f t="shared" si="8"/>
        <v>0</v>
      </c>
    </row>
    <row r="16" spans="1:25" s="77" customFormat="1" ht="18" customHeight="1" x14ac:dyDescent="0.2">
      <c r="A16" s="279">
        <f t="shared" si="4"/>
        <v>10</v>
      </c>
      <c r="B16" s="279">
        <v>12</v>
      </c>
      <c r="C16" s="277" t="s">
        <v>158</v>
      </c>
      <c r="D16" s="278">
        <v>44710</v>
      </c>
      <c r="E16" s="411">
        <f t="shared" si="0"/>
        <v>0</v>
      </c>
      <c r="F16" s="411" t="str">
        <f>+'CARGAS SOCIALES'!E14</f>
        <v>CALIF PROD</v>
      </c>
      <c r="G16" s="412">
        <f t="shared" si="1"/>
        <v>14</v>
      </c>
      <c r="H16" s="280">
        <v>7</v>
      </c>
      <c r="I16" s="280"/>
      <c r="J16" s="413">
        <f t="shared" si="2"/>
        <v>7</v>
      </c>
      <c r="K16" s="278">
        <v>44928</v>
      </c>
      <c r="L16" s="278">
        <v>44934</v>
      </c>
      <c r="M16" s="546">
        <v>819.6</v>
      </c>
      <c r="N16" s="546">
        <v>56.088636363636368</v>
      </c>
      <c r="O16" s="414">
        <f t="shared" si="9"/>
        <v>30649.102272727272</v>
      </c>
      <c r="P16" s="414"/>
      <c r="Q16" s="414">
        <f>+O16*0.175+O16*0.03/'1º QUINCENA'!G17*100</f>
        <v>6778.1668487762236</v>
      </c>
      <c r="R16" s="416">
        <f t="shared" si="5"/>
        <v>23871</v>
      </c>
      <c r="S16" s="416">
        <f t="shared" si="10"/>
        <v>109461.07954545454</v>
      </c>
      <c r="T16" s="278"/>
      <c r="U16" s="278"/>
      <c r="V16" s="414"/>
      <c r="W16" s="414"/>
      <c r="X16" s="414"/>
      <c r="Y16" s="416">
        <f t="shared" si="8"/>
        <v>0</v>
      </c>
    </row>
    <row r="17" spans="1:25" s="77" customFormat="1" ht="18" customHeight="1" x14ac:dyDescent="0.2">
      <c r="A17" s="279"/>
      <c r="B17" s="279">
        <v>13</v>
      </c>
      <c r="C17" s="277" t="s">
        <v>159</v>
      </c>
      <c r="D17" s="278">
        <v>44710</v>
      </c>
      <c r="E17" s="411">
        <f t="shared" si="0"/>
        <v>0</v>
      </c>
      <c r="F17" s="411" t="str">
        <f>+'CARGAS SOCIALES'!E15</f>
        <v>CALIF PROD</v>
      </c>
      <c r="G17" s="412">
        <f t="shared" si="1"/>
        <v>14</v>
      </c>
      <c r="H17" s="280">
        <v>7</v>
      </c>
      <c r="I17" s="280"/>
      <c r="J17" s="413">
        <f t="shared" si="2"/>
        <v>7</v>
      </c>
      <c r="K17" s="278">
        <v>44928</v>
      </c>
      <c r="L17" s="278">
        <v>44934</v>
      </c>
      <c r="M17" s="546">
        <v>819.6</v>
      </c>
      <c r="N17" s="546">
        <v>56.088636363636368</v>
      </c>
      <c r="O17" s="414">
        <f t="shared" si="9"/>
        <v>30649.102272727272</v>
      </c>
      <c r="P17" s="414"/>
      <c r="Q17" s="414">
        <f>+O17*0.175+O17*0.03/'1º QUINCENA'!G18*100</f>
        <v>6778.1668487762236</v>
      </c>
      <c r="R17" s="416">
        <f t="shared" si="5"/>
        <v>23871</v>
      </c>
      <c r="S17" s="416">
        <f t="shared" si="10"/>
        <v>109461.07954545454</v>
      </c>
      <c r="T17" s="278"/>
      <c r="U17" s="278"/>
      <c r="V17" s="414"/>
      <c r="W17" s="414"/>
      <c r="X17" s="414"/>
      <c r="Y17" s="416"/>
    </row>
    <row r="18" spans="1:25" s="77" customFormat="1" ht="18" customHeight="1" x14ac:dyDescent="0.2">
      <c r="A18" s="279"/>
      <c r="B18" s="202">
        <v>14</v>
      </c>
      <c r="C18" s="545" t="s">
        <v>160</v>
      </c>
      <c r="D18" s="278">
        <v>44710</v>
      </c>
      <c r="E18" s="411">
        <f t="shared" ref="E18:E20" si="11">DATEDIF(D18,$O$2,"y")</f>
        <v>0</v>
      </c>
      <c r="F18" s="411" t="str">
        <f>+'CARGAS SOCIALES'!E16</f>
        <v>CALIF PROD</v>
      </c>
      <c r="G18" s="412">
        <f t="shared" si="1"/>
        <v>14</v>
      </c>
      <c r="H18" s="280">
        <v>7</v>
      </c>
      <c r="I18" s="280"/>
      <c r="J18" s="413">
        <f t="shared" ref="J18:J20" si="12">G18-H18-I18</f>
        <v>7</v>
      </c>
      <c r="K18" s="278">
        <v>44928</v>
      </c>
      <c r="L18" s="278">
        <v>44934</v>
      </c>
      <c r="M18" s="546">
        <v>819.6</v>
      </c>
      <c r="N18" s="546">
        <v>56.088636363636368</v>
      </c>
      <c r="O18" s="414">
        <f>+(M18+N18)*8*H18</f>
        <v>49038.563636363637</v>
      </c>
      <c r="P18" s="414"/>
      <c r="Q18" s="414">
        <f>+O18*0.175+O18*0.03/'1º QUINCENA'!G19*100</f>
        <v>10052.905545454545</v>
      </c>
      <c r="R18" s="416">
        <f t="shared" si="5"/>
        <v>38986</v>
      </c>
      <c r="S18" s="416">
        <f>+(M18+N18)*8*25</f>
        <v>175137.72727272729</v>
      </c>
      <c r="T18" s="278"/>
      <c r="U18" s="278"/>
      <c r="V18" s="414"/>
      <c r="W18" s="414"/>
      <c r="X18" s="414"/>
      <c r="Y18" s="416"/>
    </row>
    <row r="19" spans="1:25" s="77" customFormat="1" ht="18" customHeight="1" x14ac:dyDescent="0.2">
      <c r="A19" s="279"/>
      <c r="B19" s="202">
        <v>15</v>
      </c>
      <c r="C19" s="163" t="s">
        <v>161</v>
      </c>
      <c r="D19" s="278">
        <v>44710</v>
      </c>
      <c r="E19" s="411">
        <f t="shared" si="11"/>
        <v>0</v>
      </c>
      <c r="F19" s="411" t="str">
        <f>+'CARGAS SOCIALES'!E17</f>
        <v>PEON PRACTICO PROD</v>
      </c>
      <c r="G19" s="412">
        <f t="shared" si="1"/>
        <v>14</v>
      </c>
      <c r="H19" s="280">
        <v>7</v>
      </c>
      <c r="I19" s="280"/>
      <c r="J19" s="413">
        <f t="shared" si="12"/>
        <v>7</v>
      </c>
      <c r="K19" s="278">
        <v>44928</v>
      </c>
      <c r="L19" s="278">
        <v>44934</v>
      </c>
      <c r="M19" s="546">
        <v>743.4</v>
      </c>
      <c r="N19" s="546">
        <v>56.088636363636368</v>
      </c>
      <c r="O19" s="414">
        <f t="shared" ref="O19:O23" si="13">+(M19+N19)*5*H19</f>
        <v>27982.102272727272</v>
      </c>
      <c r="P19" s="414"/>
      <c r="Q19" s="414">
        <f>+O19*0.175+O19*0.03/'1º QUINCENA'!G20*100</f>
        <v>6188.349541083915</v>
      </c>
      <c r="R19" s="416">
        <f t="shared" si="5"/>
        <v>21794</v>
      </c>
      <c r="S19" s="416">
        <f t="shared" ref="S19:S23" si="14">+(M19+N19)*5*25</f>
        <v>99936.079545454544</v>
      </c>
      <c r="T19" s="278"/>
      <c r="U19" s="278"/>
      <c r="V19" s="414"/>
      <c r="W19" s="414"/>
      <c r="X19" s="414"/>
      <c r="Y19" s="416"/>
    </row>
    <row r="20" spans="1:25" s="77" customFormat="1" ht="18" customHeight="1" x14ac:dyDescent="0.2">
      <c r="A20" s="279"/>
      <c r="B20" s="202">
        <v>16</v>
      </c>
      <c r="C20" s="163" t="s">
        <v>162</v>
      </c>
      <c r="D20" s="278">
        <v>44710</v>
      </c>
      <c r="E20" s="411">
        <f t="shared" si="11"/>
        <v>0</v>
      </c>
      <c r="F20" s="411" t="str">
        <f>+'CARGAS SOCIALES'!E18</f>
        <v>PEON PRACTICO PROD</v>
      </c>
      <c r="G20" s="412">
        <f t="shared" si="1"/>
        <v>14</v>
      </c>
      <c r="H20" s="280">
        <v>7</v>
      </c>
      <c r="I20" s="280"/>
      <c r="J20" s="413">
        <f t="shared" si="12"/>
        <v>7</v>
      </c>
      <c r="K20" s="278">
        <v>44928</v>
      </c>
      <c r="L20" s="278">
        <v>44934</v>
      </c>
      <c r="M20" s="546">
        <v>743.4</v>
      </c>
      <c r="N20" s="546">
        <v>56.088636363636368</v>
      </c>
      <c r="O20" s="414">
        <f t="shared" si="13"/>
        <v>27982.102272727272</v>
      </c>
      <c r="P20" s="414"/>
      <c r="Q20" s="414">
        <f>+O20*0.175+O20*0.03/'1º QUINCENA'!G21*100</f>
        <v>6188.349541083915</v>
      </c>
      <c r="R20" s="416">
        <f t="shared" si="5"/>
        <v>21794</v>
      </c>
      <c r="S20" s="416">
        <f t="shared" si="14"/>
        <v>99936.079545454544</v>
      </c>
      <c r="T20" s="278"/>
      <c r="U20" s="278"/>
      <c r="V20" s="414"/>
      <c r="W20" s="414"/>
      <c r="X20" s="414"/>
      <c r="Y20" s="416"/>
    </row>
    <row r="21" spans="1:25" s="77" customFormat="1" ht="18" customHeight="1" x14ac:dyDescent="0.2">
      <c r="A21" s="279"/>
      <c r="B21" s="202">
        <v>17</v>
      </c>
      <c r="C21" s="163" t="s">
        <v>163</v>
      </c>
      <c r="D21" s="278">
        <v>44710</v>
      </c>
      <c r="E21" s="411">
        <f t="shared" si="0"/>
        <v>0</v>
      </c>
      <c r="F21" s="411" t="str">
        <f>+'CARGAS SOCIALES'!E19</f>
        <v>PEON PRACTICO PROD</v>
      </c>
      <c r="G21" s="412">
        <f>IF(E21&gt;=20,35,IF(AND(E21&gt;=10,E21&lt;20),28,IF(AND(E21&gt;=5,E21&lt;10),21,IF(E21&lt;5,14,0))))</f>
        <v>14</v>
      </c>
      <c r="H21" s="280">
        <v>7</v>
      </c>
      <c r="I21" s="280"/>
      <c r="J21" s="413">
        <f t="shared" si="2"/>
        <v>7</v>
      </c>
      <c r="K21" s="278">
        <v>44928</v>
      </c>
      <c r="L21" s="278">
        <v>44934</v>
      </c>
      <c r="M21" s="546">
        <v>743.4</v>
      </c>
      <c r="N21" s="546">
        <v>56.088636363636368</v>
      </c>
      <c r="O21" s="414">
        <f t="shared" si="13"/>
        <v>27982.102272727272</v>
      </c>
      <c r="P21" s="414"/>
      <c r="Q21" s="414">
        <f>+O21*0.175+O21*0.03/'1º QUINCENA'!G22*100</f>
        <v>6188.349541083915</v>
      </c>
      <c r="R21" s="416">
        <f t="shared" si="5"/>
        <v>21794</v>
      </c>
      <c r="S21" s="416">
        <f t="shared" si="14"/>
        <v>99936.079545454544</v>
      </c>
      <c r="T21" s="278"/>
      <c r="U21" s="278"/>
      <c r="V21" s="414"/>
      <c r="W21" s="414"/>
      <c r="X21" s="414"/>
      <c r="Y21" s="416"/>
    </row>
    <row r="22" spans="1:25" s="77" customFormat="1" ht="18" customHeight="1" x14ac:dyDescent="0.2">
      <c r="A22" s="279"/>
      <c r="B22" s="202">
        <v>18</v>
      </c>
      <c r="C22" s="163" t="s">
        <v>164</v>
      </c>
      <c r="D22" s="278">
        <v>44710</v>
      </c>
      <c r="E22" s="411">
        <f t="shared" si="0"/>
        <v>0</v>
      </c>
      <c r="F22" s="411" t="str">
        <f>+'CARGAS SOCIALES'!E20</f>
        <v>SEMI CALIF PROD</v>
      </c>
      <c r="G22" s="412">
        <f>IF(E22&gt;=20,35,IF(AND(E22&gt;=10,E22&lt;20),28,IF(AND(E22&gt;=5,E22&lt;10),21,IF(E22&lt;5,14,0))))</f>
        <v>14</v>
      </c>
      <c r="H22" s="280">
        <v>7</v>
      </c>
      <c r="I22" s="280"/>
      <c r="J22" s="413">
        <f t="shared" si="2"/>
        <v>7</v>
      </c>
      <c r="K22" s="278">
        <v>44928</v>
      </c>
      <c r="L22" s="278">
        <v>44934</v>
      </c>
      <c r="M22" s="546">
        <v>780.57</v>
      </c>
      <c r="N22" s="546">
        <v>56.088636363636368</v>
      </c>
      <c r="O22" s="414">
        <f t="shared" si="13"/>
        <v>29283.052272727276</v>
      </c>
      <c r="P22" s="414"/>
      <c r="Q22" s="414">
        <f>+O22*0.175+O22*0.03/'1º QUINCENA'!G23*100</f>
        <v>6476.0596372377622</v>
      </c>
      <c r="R22" s="416">
        <f t="shared" si="5"/>
        <v>22807</v>
      </c>
      <c r="S22" s="416">
        <f t="shared" si="14"/>
        <v>104582.32954545456</v>
      </c>
      <c r="T22" s="278"/>
      <c r="U22" s="278"/>
      <c r="V22" s="414"/>
      <c r="W22" s="414"/>
      <c r="X22" s="414"/>
      <c r="Y22" s="416"/>
    </row>
    <row r="23" spans="1:25" s="77" customFormat="1" ht="18" customHeight="1" x14ac:dyDescent="0.2">
      <c r="A23" s="279"/>
      <c r="B23" s="202">
        <v>19</v>
      </c>
      <c r="C23" s="163" t="s">
        <v>166</v>
      </c>
      <c r="D23" s="278">
        <v>44710</v>
      </c>
      <c r="E23" s="411">
        <f t="shared" si="0"/>
        <v>0</v>
      </c>
      <c r="F23" s="411" t="str">
        <f>+'CARGAS SOCIALES'!E21</f>
        <v>SEMI CALIF PROD</v>
      </c>
      <c r="G23" s="412">
        <f t="shared" ref="G23:G25" si="15">IF(E23&gt;=20,35,IF(AND(E23&gt;=10,E23&lt;20),28,IF(AND(E23&gt;=5,E23&lt;10),21,IF(E23&lt;5,14,0))))</f>
        <v>14</v>
      </c>
      <c r="H23" s="280">
        <v>7</v>
      </c>
      <c r="I23" s="280"/>
      <c r="J23" s="413">
        <f t="shared" si="2"/>
        <v>7</v>
      </c>
      <c r="K23" s="278">
        <v>44928</v>
      </c>
      <c r="L23" s="278">
        <v>44934</v>
      </c>
      <c r="M23" s="546">
        <v>780.57</v>
      </c>
      <c r="N23" s="546">
        <v>56.088636363636368</v>
      </c>
      <c r="O23" s="414">
        <f t="shared" si="13"/>
        <v>29283.052272727276</v>
      </c>
      <c r="P23" s="414"/>
      <c r="Q23" s="414">
        <f>+O23*0.175+O23*0.03/'1º QUINCENA'!G24*100</f>
        <v>6476.0596372377622</v>
      </c>
      <c r="R23" s="416">
        <f t="shared" si="5"/>
        <v>22807</v>
      </c>
      <c r="S23" s="416">
        <f t="shared" si="14"/>
        <v>104582.32954545456</v>
      </c>
      <c r="T23" s="278"/>
      <c r="U23" s="278"/>
      <c r="V23" s="414"/>
      <c r="W23" s="414"/>
      <c r="X23" s="414"/>
      <c r="Y23" s="416"/>
    </row>
    <row r="24" spans="1:25" s="77" customFormat="1" ht="18" customHeight="1" x14ac:dyDescent="0.2">
      <c r="A24" s="279"/>
      <c r="B24" s="202">
        <v>20</v>
      </c>
      <c r="C24" s="545" t="s">
        <v>167</v>
      </c>
      <c r="D24" s="278">
        <v>44710</v>
      </c>
      <c r="E24" s="411">
        <f t="shared" ref="E24:E30" si="16">DATEDIF(D24,$O$2,"y")</f>
        <v>0</v>
      </c>
      <c r="F24" s="411" t="str">
        <f>+'CARGAS SOCIALES'!E22</f>
        <v>CALIF PROD</v>
      </c>
      <c r="G24" s="412">
        <f t="shared" si="15"/>
        <v>14</v>
      </c>
      <c r="H24" s="280">
        <v>7</v>
      </c>
      <c r="I24" s="280"/>
      <c r="J24" s="413">
        <f t="shared" ref="J24:J30" si="17">G24-H24-I24</f>
        <v>7</v>
      </c>
      <c r="K24" s="278">
        <v>44928</v>
      </c>
      <c r="L24" s="278">
        <v>44934</v>
      </c>
      <c r="M24" s="546">
        <v>819.6</v>
      </c>
      <c r="N24" s="546">
        <v>56.088636363636368</v>
      </c>
      <c r="O24" s="414">
        <f>+(M24+N24)*8*H24</f>
        <v>49038.563636363637</v>
      </c>
      <c r="P24" s="414"/>
      <c r="Q24" s="414">
        <f>+O24*0.175+O24*0.03/'1º QUINCENA'!G25*100</f>
        <v>10052.905545454545</v>
      </c>
      <c r="R24" s="416">
        <f t="shared" si="5"/>
        <v>38986</v>
      </c>
      <c r="S24" s="416">
        <f>+(M24+N24)*8*25</f>
        <v>175137.72727272729</v>
      </c>
      <c r="T24" s="278"/>
      <c r="U24" s="278"/>
      <c r="V24" s="414"/>
      <c r="W24" s="414"/>
      <c r="X24" s="414"/>
      <c r="Y24" s="416"/>
    </row>
    <row r="25" spans="1:25" s="432" customFormat="1" ht="18" customHeight="1" x14ac:dyDescent="0.2">
      <c r="A25" s="425"/>
      <c r="B25" s="426">
        <v>21</v>
      </c>
      <c r="C25" s="427" t="s">
        <v>165</v>
      </c>
      <c r="D25" s="281">
        <v>44710</v>
      </c>
      <c r="E25" s="428">
        <f t="shared" si="16"/>
        <v>0</v>
      </c>
      <c r="F25" s="428"/>
      <c r="G25" s="429">
        <f t="shared" si="15"/>
        <v>14</v>
      </c>
      <c r="H25" s="429"/>
      <c r="I25" s="429"/>
      <c r="J25" s="429">
        <f t="shared" si="17"/>
        <v>14</v>
      </c>
      <c r="K25" s="281"/>
      <c r="L25" s="281"/>
      <c r="M25" s="281"/>
      <c r="N25" s="281"/>
      <c r="O25" s="430"/>
      <c r="P25" s="430"/>
      <c r="Q25" s="430"/>
      <c r="R25" s="431"/>
      <c r="S25" s="431"/>
      <c r="T25" s="281"/>
      <c r="U25" s="281"/>
      <c r="V25" s="430"/>
      <c r="W25" s="430"/>
      <c r="X25" s="430"/>
      <c r="Y25" s="431"/>
    </row>
    <row r="26" spans="1:25" s="432" customFormat="1" ht="18" customHeight="1" x14ac:dyDescent="0.2">
      <c r="A26" s="425"/>
      <c r="B26" s="426">
        <v>23</v>
      </c>
      <c r="C26" s="427" t="s">
        <v>204</v>
      </c>
      <c r="D26" s="281">
        <v>44791</v>
      </c>
      <c r="E26" s="428">
        <f t="shared" si="16"/>
        <v>0</v>
      </c>
      <c r="F26" s="428"/>
      <c r="G26" s="429">
        <f>ROUNDUP((14-1+30-8+31-10+30-8+31-9)/20,0)</f>
        <v>5</v>
      </c>
      <c r="H26" s="429"/>
      <c r="I26" s="429"/>
      <c r="J26" s="429">
        <f t="shared" si="17"/>
        <v>5</v>
      </c>
      <c r="K26" s="281"/>
      <c r="L26" s="281"/>
      <c r="M26" s="281"/>
      <c r="N26" s="281"/>
      <c r="O26" s="430"/>
      <c r="P26" s="430"/>
      <c r="Q26" s="430"/>
      <c r="R26" s="431"/>
      <c r="S26" s="431"/>
      <c r="T26" s="281"/>
      <c r="U26" s="281"/>
      <c r="V26" s="430"/>
      <c r="W26" s="430"/>
      <c r="X26" s="430"/>
      <c r="Y26" s="431"/>
    </row>
    <row r="27" spans="1:25" s="77" customFormat="1" ht="18" customHeight="1" x14ac:dyDescent="0.2">
      <c r="A27" s="279"/>
      <c r="B27" s="202">
        <v>24</v>
      </c>
      <c r="C27" s="163" t="s">
        <v>219</v>
      </c>
      <c r="D27" s="278">
        <v>44815</v>
      </c>
      <c r="E27" s="411">
        <f t="shared" si="16"/>
        <v>0</v>
      </c>
      <c r="F27" s="411" t="str">
        <f>+'CARGAS SOCIALES'!E23</f>
        <v>OP INICIAL PROD</v>
      </c>
      <c r="G27" s="412">
        <f>ROUNDUP((20-3+31-5+30-4+31-4)/20,0)</f>
        <v>5</v>
      </c>
      <c r="H27" s="280">
        <v>5</v>
      </c>
      <c r="I27" s="280"/>
      <c r="J27" s="413">
        <f t="shared" si="17"/>
        <v>0</v>
      </c>
      <c r="K27" s="278">
        <v>44928</v>
      </c>
      <c r="L27" s="278">
        <v>44932</v>
      </c>
      <c r="M27" s="546">
        <v>708</v>
      </c>
      <c r="N27" s="546">
        <v>56.088636363636368</v>
      </c>
      <c r="O27" s="414">
        <f>+(M27+N27)*5*H27</f>
        <v>19102.215909090912</v>
      </c>
      <c r="P27" s="414"/>
      <c r="Q27" s="414">
        <f>+O27*0.175+O27*0.03/'1º QUINCENA'!G26*100</f>
        <v>4224.5285183566439</v>
      </c>
      <c r="R27" s="416">
        <f t="shared" ref="R27:R31" si="18">+ROUNDUP(O27+P27-Q27,0)</f>
        <v>14878</v>
      </c>
      <c r="S27" s="416">
        <f>+(M27+N27)*5*25</f>
        <v>95511.079545454544</v>
      </c>
      <c r="T27" s="278"/>
      <c r="U27" s="278"/>
      <c r="V27" s="414"/>
      <c r="W27" s="414"/>
      <c r="X27" s="414"/>
      <c r="Y27" s="416"/>
    </row>
    <row r="28" spans="1:25" s="77" customFormat="1" ht="18" customHeight="1" x14ac:dyDescent="0.2">
      <c r="A28" s="279"/>
      <c r="B28" s="202">
        <v>25</v>
      </c>
      <c r="C28" s="163" t="s">
        <v>240</v>
      </c>
      <c r="D28" s="278">
        <v>44829</v>
      </c>
      <c r="E28" s="411">
        <f t="shared" si="16"/>
        <v>0</v>
      </c>
      <c r="F28" s="411" t="str">
        <f>+'CARGAS SOCIALES'!E24</f>
        <v>OP INICIAL PROD</v>
      </c>
      <c r="G28" s="412">
        <f>ROUNDUP((6+31-5+30-4+31-4)/20,0)</f>
        <v>5</v>
      </c>
      <c r="H28" s="280"/>
      <c r="I28" s="280"/>
      <c r="J28" s="413">
        <f t="shared" si="17"/>
        <v>5</v>
      </c>
      <c r="K28" s="278"/>
      <c r="L28" s="278"/>
      <c r="M28" s="546">
        <v>708</v>
      </c>
      <c r="N28" s="546"/>
      <c r="O28" s="414"/>
      <c r="P28" s="414"/>
      <c r="Q28" s="414"/>
      <c r="R28" s="416">
        <f t="shared" si="18"/>
        <v>0</v>
      </c>
      <c r="S28" s="416"/>
      <c r="T28" s="278"/>
      <c r="U28" s="278"/>
      <c r="V28" s="414"/>
      <c r="W28" s="414"/>
      <c r="X28" s="414"/>
      <c r="Y28" s="416"/>
    </row>
    <row r="29" spans="1:25" s="77" customFormat="1" ht="18" customHeight="1" x14ac:dyDescent="0.2">
      <c r="A29" s="279"/>
      <c r="B29" s="202">
        <v>26</v>
      </c>
      <c r="C29" s="163" t="s">
        <v>247</v>
      </c>
      <c r="D29" s="278">
        <v>44866</v>
      </c>
      <c r="E29" s="411">
        <f t="shared" si="16"/>
        <v>0</v>
      </c>
      <c r="F29" s="411" t="str">
        <f>+'CARGAS SOCIALES'!E25</f>
        <v>OP INICIAL PROD</v>
      </c>
      <c r="G29" s="412">
        <f>ROUNDUP((30-4+31-4)/20,0)</f>
        <v>3</v>
      </c>
      <c r="H29" s="280"/>
      <c r="I29" s="280"/>
      <c r="J29" s="413">
        <f t="shared" si="17"/>
        <v>3</v>
      </c>
      <c r="K29" s="278"/>
      <c r="L29" s="278"/>
      <c r="M29" s="546">
        <v>708</v>
      </c>
      <c r="N29" s="546"/>
      <c r="O29" s="414"/>
      <c r="P29" s="414"/>
      <c r="Q29" s="414"/>
      <c r="R29" s="416">
        <f t="shared" si="18"/>
        <v>0</v>
      </c>
      <c r="S29" s="416"/>
      <c r="T29" s="278"/>
      <c r="U29" s="278"/>
      <c r="V29" s="414"/>
      <c r="W29" s="414"/>
      <c r="X29" s="414"/>
      <c r="Y29" s="416"/>
    </row>
    <row r="30" spans="1:25" s="77" customFormat="1" ht="18" customHeight="1" x14ac:dyDescent="0.2">
      <c r="A30" s="279"/>
      <c r="B30" s="202">
        <v>27</v>
      </c>
      <c r="C30" s="163" t="s">
        <v>252</v>
      </c>
      <c r="D30" s="278">
        <v>44887</v>
      </c>
      <c r="E30" s="411">
        <f t="shared" si="16"/>
        <v>0</v>
      </c>
      <c r="F30" s="411" t="str">
        <f>+'CARGAS SOCIALES'!E26</f>
        <v>ENCARGADO</v>
      </c>
      <c r="G30" s="412">
        <f>ROUNDUP((9-1+31-4)/20,0)</f>
        <v>2</v>
      </c>
      <c r="H30" s="280"/>
      <c r="I30" s="280"/>
      <c r="J30" s="413">
        <f t="shared" si="17"/>
        <v>2</v>
      </c>
      <c r="K30" s="278"/>
      <c r="L30" s="278"/>
      <c r="M30" s="278"/>
      <c r="N30" s="278"/>
      <c r="O30" s="414"/>
      <c r="P30" s="414"/>
      <c r="Q30" s="414"/>
      <c r="R30" s="416">
        <f t="shared" si="18"/>
        <v>0</v>
      </c>
      <c r="S30" s="416"/>
      <c r="T30" s="278"/>
      <c r="U30" s="278"/>
      <c r="V30" s="414"/>
      <c r="W30" s="414"/>
      <c r="X30" s="414"/>
      <c r="Y30" s="416"/>
    </row>
    <row r="31" spans="1:25" s="77" customFormat="1" ht="18" customHeight="1" x14ac:dyDescent="0.2">
      <c r="A31" s="279"/>
      <c r="B31" s="202"/>
      <c r="C31" s="163"/>
      <c r="D31" s="278"/>
      <c r="E31" s="411"/>
      <c r="F31" s="411"/>
      <c r="G31" s="412"/>
      <c r="H31" s="280"/>
      <c r="I31" s="280"/>
      <c r="J31" s="413"/>
      <c r="K31" s="278"/>
      <c r="L31" s="278"/>
      <c r="M31" s="546"/>
      <c r="N31" s="546"/>
      <c r="O31" s="414"/>
      <c r="P31" s="414"/>
      <c r="Q31" s="414"/>
      <c r="R31" s="416">
        <f t="shared" si="18"/>
        <v>0</v>
      </c>
      <c r="S31" s="416"/>
      <c r="T31" s="278"/>
      <c r="U31" s="278"/>
      <c r="V31" s="414"/>
      <c r="W31" s="414"/>
      <c r="X31" s="414"/>
      <c r="Y31" s="416"/>
    </row>
    <row r="32" spans="1:25" ht="12.75" x14ac:dyDescent="0.2">
      <c r="A32" s="409"/>
      <c r="C32" s="402"/>
      <c r="D32" s="402"/>
      <c r="E32" s="402"/>
      <c r="F32" s="402"/>
      <c r="G32" s="402"/>
      <c r="O32" s="402"/>
      <c r="P32" s="402"/>
      <c r="Q32" s="402"/>
      <c r="R32" s="402"/>
      <c r="S32" s="402"/>
    </row>
    <row r="33" spans="1:19" ht="12.75" x14ac:dyDescent="0.2">
      <c r="A33" s="409"/>
      <c r="C33" s="530" t="s">
        <v>1</v>
      </c>
      <c r="D33" s="532" t="s">
        <v>236</v>
      </c>
      <c r="E33" s="402"/>
      <c r="F33" s="402"/>
      <c r="G33" s="402"/>
      <c r="O33" s="402"/>
      <c r="P33" s="402"/>
      <c r="Q33" s="402"/>
      <c r="R33" s="402"/>
      <c r="S33" s="402"/>
    </row>
    <row r="34" spans="1:19" ht="12.75" x14ac:dyDescent="0.2">
      <c r="A34" s="409"/>
      <c r="C34" s="531"/>
      <c r="D34" s="533"/>
      <c r="E34" s="402"/>
      <c r="F34" s="402"/>
      <c r="G34" s="402"/>
      <c r="O34" s="402"/>
      <c r="P34" s="402"/>
      <c r="Q34" s="402"/>
      <c r="R34" s="402"/>
      <c r="S34" s="402"/>
    </row>
    <row r="35" spans="1:19" ht="12.75" x14ac:dyDescent="0.2">
      <c r="A35" s="409"/>
      <c r="C35" s="277" t="s">
        <v>231</v>
      </c>
      <c r="D35" s="418">
        <v>21</v>
      </c>
      <c r="H35" s="403"/>
      <c r="I35" s="403"/>
      <c r="J35" s="403"/>
      <c r="K35" s="403"/>
      <c r="L35" s="403"/>
      <c r="M35" s="403"/>
      <c r="N35" s="403"/>
    </row>
    <row r="36" spans="1:19" ht="12.75" x14ac:dyDescent="0.2">
      <c r="A36" s="409"/>
      <c r="C36" s="277" t="s">
        <v>232</v>
      </c>
      <c r="D36" s="418">
        <v>7</v>
      </c>
      <c r="E36" s="419"/>
      <c r="F36" s="419"/>
      <c r="G36" s="406"/>
      <c r="H36" s="90"/>
      <c r="I36" s="90"/>
      <c r="J36" s="90"/>
      <c r="K36" s="90"/>
      <c r="L36" s="90"/>
      <c r="M36" s="90"/>
      <c r="N36" s="90"/>
    </row>
    <row r="37" spans="1:19" ht="12.75" x14ac:dyDescent="0.2">
      <c r="A37" s="409"/>
      <c r="C37" s="277" t="s">
        <v>233</v>
      </c>
      <c r="D37" s="418">
        <v>14</v>
      </c>
      <c r="E37" s="419"/>
      <c r="F37" s="419"/>
      <c r="G37" s="406"/>
      <c r="H37" s="90"/>
      <c r="I37" s="90"/>
      <c r="J37" s="90"/>
      <c r="K37" s="90"/>
      <c r="L37" s="90"/>
      <c r="M37" s="90"/>
      <c r="N37" s="90"/>
    </row>
    <row r="38" spans="1:19" ht="12.75" x14ac:dyDescent="0.2">
      <c r="A38" s="409"/>
      <c r="C38" s="277" t="s">
        <v>234</v>
      </c>
      <c r="D38" s="418">
        <v>1</v>
      </c>
      <c r="E38" s="419"/>
      <c r="F38" s="419"/>
      <c r="G38" s="121"/>
      <c r="H38" s="420"/>
      <c r="I38" s="420"/>
      <c r="J38" s="420"/>
      <c r="K38" s="420"/>
      <c r="L38" s="420"/>
      <c r="M38" s="420"/>
      <c r="N38" s="420"/>
    </row>
    <row r="39" spans="1:19" ht="12.75" x14ac:dyDescent="0.2">
      <c r="A39" s="409"/>
      <c r="C39" s="277" t="s">
        <v>235</v>
      </c>
      <c r="D39" s="418">
        <v>7</v>
      </c>
      <c r="E39" s="110"/>
      <c r="F39" s="110"/>
      <c r="G39" s="121"/>
    </row>
    <row r="40" spans="1:19" ht="12.75" x14ac:dyDescent="0.2">
      <c r="A40" s="409"/>
      <c r="C40" s="277" t="s">
        <v>237</v>
      </c>
      <c r="D40" s="418">
        <v>1</v>
      </c>
      <c r="E40" s="410"/>
      <c r="F40" s="410"/>
      <c r="G40" s="410"/>
    </row>
    <row r="41" spans="1:19" ht="12.75" x14ac:dyDescent="0.2">
      <c r="A41" s="409"/>
      <c r="C41" s="421"/>
      <c r="D41" s="422"/>
      <c r="E41" s="419"/>
      <c r="F41" s="419"/>
      <c r="G41" s="406"/>
    </row>
    <row r="42" spans="1:19" ht="12.75" x14ac:dyDescent="0.2">
      <c r="A42" s="409"/>
      <c r="C42" s="421"/>
      <c r="D42" s="422"/>
      <c r="E42" s="419"/>
      <c r="F42" s="419"/>
      <c r="G42" s="406"/>
    </row>
    <row r="43" spans="1:19" ht="12.75" x14ac:dyDescent="0.2">
      <c r="A43" s="409"/>
      <c r="C43" s="91"/>
      <c r="D43" s="110"/>
      <c r="E43" s="419"/>
      <c r="F43" s="419"/>
      <c r="G43" s="121"/>
    </row>
    <row r="44" spans="1:19" ht="12.75" x14ac:dyDescent="0.2">
      <c r="A44" s="409"/>
      <c r="C44" s="110"/>
      <c r="D44" s="110"/>
      <c r="E44" s="419"/>
      <c r="F44" s="419"/>
      <c r="G44" s="121"/>
    </row>
    <row r="45" spans="1:19" ht="12.75" x14ac:dyDescent="0.2">
      <c r="A45" s="409"/>
      <c r="C45" s="110"/>
      <c r="D45" s="110"/>
      <c r="E45" s="419"/>
      <c r="F45" s="419"/>
      <c r="G45" s="121"/>
    </row>
    <row r="46" spans="1:19" ht="12.75" x14ac:dyDescent="0.2">
      <c r="A46" s="409"/>
      <c r="C46" s="110"/>
      <c r="D46" s="110"/>
      <c r="E46" s="110"/>
      <c r="F46" s="110"/>
      <c r="G46" s="121"/>
    </row>
    <row r="47" spans="1:19" ht="12.75" x14ac:dyDescent="0.2">
      <c r="A47" s="409"/>
      <c r="C47" s="410"/>
      <c r="D47" s="410"/>
      <c r="E47" s="423"/>
      <c r="F47" s="423"/>
      <c r="G47" s="424"/>
    </row>
    <row r="48" spans="1:19" s="402" customFormat="1" ht="12.75" x14ac:dyDescent="0.2">
      <c r="A48" s="409"/>
      <c r="C48" s="410"/>
      <c r="D48" s="410"/>
      <c r="E48" s="410"/>
      <c r="F48" s="410"/>
      <c r="G48" s="410"/>
      <c r="O48" s="403"/>
      <c r="P48" s="403"/>
      <c r="Q48" s="403"/>
      <c r="R48" s="403"/>
      <c r="S48" s="403"/>
    </row>
    <row r="49" spans="1:19" s="402" customFormat="1" ht="12.75" x14ac:dyDescent="0.2">
      <c r="A49" s="409"/>
      <c r="C49" s="410"/>
      <c r="D49" s="410"/>
      <c r="E49" s="410"/>
      <c r="F49" s="410"/>
      <c r="G49" s="410"/>
      <c r="O49" s="403"/>
      <c r="P49" s="403"/>
      <c r="Q49" s="403"/>
      <c r="R49" s="403"/>
      <c r="S49" s="403"/>
    </row>
    <row r="50" spans="1:19" s="402" customFormat="1" ht="12.75" x14ac:dyDescent="0.2">
      <c r="A50" s="409"/>
      <c r="C50" s="410"/>
      <c r="D50" s="410"/>
      <c r="E50" s="410"/>
      <c r="F50" s="410"/>
      <c r="G50" s="410"/>
      <c r="O50" s="403"/>
      <c r="P50" s="403"/>
      <c r="Q50" s="403"/>
      <c r="R50" s="403"/>
      <c r="S50" s="403"/>
    </row>
    <row r="51" spans="1:19" s="402" customFormat="1" ht="12.75" x14ac:dyDescent="0.2">
      <c r="A51" s="409"/>
      <c r="C51" s="403"/>
      <c r="D51" s="403"/>
      <c r="E51" s="403"/>
      <c r="F51" s="403"/>
      <c r="G51" s="403"/>
      <c r="O51" s="403"/>
      <c r="P51" s="403"/>
      <c r="Q51" s="403"/>
      <c r="R51" s="403"/>
      <c r="S51" s="403"/>
    </row>
    <row r="52" spans="1:19" s="402" customFormat="1" ht="12.75" x14ac:dyDescent="0.2">
      <c r="A52" s="409"/>
      <c r="C52" s="403"/>
      <c r="D52" s="403"/>
      <c r="E52" s="403"/>
      <c r="F52" s="403"/>
      <c r="G52" s="403"/>
      <c r="O52" s="403"/>
      <c r="P52" s="403"/>
      <c r="Q52" s="403"/>
      <c r="R52" s="403"/>
      <c r="S52" s="403"/>
    </row>
  </sheetData>
  <autoFilter ref="A6:U31"/>
  <mergeCells count="24">
    <mergeCell ref="V5:V6"/>
    <mergeCell ref="W5:W6"/>
    <mergeCell ref="X5:X6"/>
    <mergeCell ref="Y5:Y6"/>
    <mergeCell ref="C33:C34"/>
    <mergeCell ref="D33:D34"/>
    <mergeCell ref="O5:O6"/>
    <mergeCell ref="P5:P6"/>
    <mergeCell ref="Q5:Q6"/>
    <mergeCell ref="R5:R6"/>
    <mergeCell ref="T5:T6"/>
    <mergeCell ref="U5:U6"/>
    <mergeCell ref="G5:G6"/>
    <mergeCell ref="H5:H6"/>
    <mergeCell ref="I5:I6"/>
    <mergeCell ref="J5:J6"/>
    <mergeCell ref="K5:K6"/>
    <mergeCell ref="L5:L6"/>
    <mergeCell ref="B3:D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7"/>
  <sheetViews>
    <sheetView topLeftCell="C5" zoomScaleNormal="100" workbookViewId="0">
      <selection activeCell="P14" sqref="P14:P25"/>
    </sheetView>
  </sheetViews>
  <sheetFormatPr baseColWidth="10" defaultRowHeight="12.75" customHeight="1" x14ac:dyDescent="0.2"/>
  <cols>
    <col min="1" max="1" width="5.85546875" customWidth="1"/>
    <col min="2" max="2" width="14" customWidth="1"/>
    <col min="3" max="3" width="26.85546875" customWidth="1"/>
    <col min="4" max="4" width="10.140625" customWidth="1"/>
    <col min="5" max="5" width="8.28515625" customWidth="1"/>
    <col min="6" max="7" width="7.85546875" customWidth="1"/>
    <col min="8" max="8" width="7.7109375" customWidth="1"/>
    <col min="9" max="9" width="8.28515625" customWidth="1"/>
    <col min="10" max="13" width="10.5703125" customWidth="1"/>
    <col min="14" max="14" width="12.7109375" customWidth="1"/>
    <col min="15" max="17" width="9.85546875" customWidth="1"/>
    <col min="18" max="18" width="10.5703125" customWidth="1"/>
    <col min="19" max="19" width="11.140625" customWidth="1"/>
  </cols>
  <sheetData>
    <row r="1" spans="1:23" ht="23.25" x14ac:dyDescent="0.35">
      <c r="A1" s="67" t="str">
        <f>+'NOMINA MES'!A1</f>
        <v>COOP AGRICOLA GANADERA AARON CASTELLANOS</v>
      </c>
      <c r="B1" s="68"/>
      <c r="C1" s="68"/>
      <c r="D1" s="68"/>
      <c r="E1" s="68"/>
      <c r="F1" s="68"/>
      <c r="G1" s="537">
        <v>44742</v>
      </c>
      <c r="H1" s="537"/>
      <c r="I1" s="23"/>
      <c r="J1" s="23"/>
      <c r="K1" s="23"/>
      <c r="L1" s="23"/>
      <c r="M1" s="23"/>
      <c r="N1" s="23"/>
      <c r="O1" s="23"/>
      <c r="P1" s="23"/>
      <c r="Q1" s="23"/>
      <c r="R1" s="23"/>
      <c r="S1" s="31"/>
    </row>
    <row r="2" spans="1:23" ht="24" customHeight="1" x14ac:dyDescent="0.25">
      <c r="A2" s="133" t="s">
        <v>191</v>
      </c>
      <c r="B2" s="68"/>
      <c r="C2" s="68"/>
      <c r="D2" s="68"/>
      <c r="E2" s="68"/>
      <c r="F2" s="68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72">
        <v>44742</v>
      </c>
    </row>
    <row r="3" spans="1:23" ht="13.5" x14ac:dyDescent="0.25">
      <c r="A3" s="32"/>
      <c r="B3" s="32"/>
      <c r="C3" s="33"/>
      <c r="D3" s="34"/>
      <c r="E3" s="34"/>
      <c r="F3" s="35"/>
      <c r="G3" s="25"/>
      <c r="H3" s="23"/>
      <c r="I3" s="23"/>
      <c r="J3" s="23"/>
      <c r="K3" s="541">
        <v>44713</v>
      </c>
      <c r="L3" s="542"/>
      <c r="M3" s="543"/>
      <c r="N3" s="23"/>
      <c r="O3" s="23"/>
      <c r="P3" s="23"/>
      <c r="Q3" s="23"/>
      <c r="R3" s="23"/>
      <c r="S3" s="31"/>
    </row>
    <row r="4" spans="1:23" s="57" customFormat="1" ht="38.25" x14ac:dyDescent="0.2">
      <c r="A4" s="69" t="str">
        <f>+'NOMINA MES'!A5</f>
        <v>Nº</v>
      </c>
      <c r="B4" s="69" t="s">
        <v>19</v>
      </c>
      <c r="C4" s="69" t="s">
        <v>20</v>
      </c>
      <c r="D4" s="70" t="s">
        <v>21</v>
      </c>
      <c r="E4" s="70" t="s">
        <v>22</v>
      </c>
      <c r="F4" s="79">
        <v>44562</v>
      </c>
      <c r="G4" s="79">
        <v>44593</v>
      </c>
      <c r="H4" s="79">
        <v>44621</v>
      </c>
      <c r="I4" s="79">
        <v>44652</v>
      </c>
      <c r="J4" s="79">
        <v>44682</v>
      </c>
      <c r="K4" s="368" t="s">
        <v>185</v>
      </c>
      <c r="L4" s="368" t="s">
        <v>186</v>
      </c>
      <c r="M4" s="368" t="s">
        <v>187</v>
      </c>
      <c r="N4" s="131" t="s">
        <v>23</v>
      </c>
      <c r="O4" s="138" t="s">
        <v>188</v>
      </c>
      <c r="P4" s="138" t="s">
        <v>189</v>
      </c>
      <c r="Q4" s="71" t="s">
        <v>24</v>
      </c>
      <c r="R4" s="139" t="s">
        <v>91</v>
      </c>
      <c r="S4" s="134">
        <v>44562</v>
      </c>
    </row>
    <row r="5" spans="1:23" s="74" customFormat="1" ht="14.25" customHeight="1" x14ac:dyDescent="0.2">
      <c r="A5" s="132">
        <f>1</f>
        <v>1</v>
      </c>
      <c r="B5" s="54">
        <v>20267676527</v>
      </c>
      <c r="C5" s="265" t="s">
        <v>146</v>
      </c>
      <c r="D5" s="78">
        <v>44710</v>
      </c>
      <c r="E5" s="136">
        <f t="shared" ref="E5:E25" si="0">IF(D5&gt;$S$4,DATEDIF(D5,$S$2,"d"),181)</f>
        <v>32</v>
      </c>
      <c r="F5" s="263"/>
      <c r="G5" s="263"/>
      <c r="H5" s="263"/>
      <c r="I5" s="263"/>
      <c r="J5" s="370">
        <v>22641.5</v>
      </c>
      <c r="K5" s="271">
        <v>247067.97500000001</v>
      </c>
      <c r="L5" s="271">
        <v>11800</v>
      </c>
      <c r="M5" s="371">
        <f>SUM(K5:L5)</f>
        <v>258867.97500000001</v>
      </c>
      <c r="N5" s="199">
        <f>MAX(F5:J5,M5)</f>
        <v>258867.97500000001</v>
      </c>
      <c r="O5" s="200">
        <f>+K5/2/181*E5</f>
        <v>21840.262983425415</v>
      </c>
      <c r="P5" s="200">
        <f>+L5/2/181*E5</f>
        <v>1043.0939226519338</v>
      </c>
      <c r="Q5" s="375">
        <f>+O5*20.5/100</f>
        <v>4477.2539116022099</v>
      </c>
      <c r="R5" s="137">
        <f>ROUNDUP(O5-Q5+P5,0)</f>
        <v>18407</v>
      </c>
      <c r="S5" s="73" t="s">
        <v>97</v>
      </c>
      <c r="U5" s="373">
        <f>+N5/2*'1º SAC'!E5/181</f>
        <v>22883.356906077348</v>
      </c>
      <c r="V5" s="374">
        <f>+O5+P5</f>
        <v>22883.356906077348</v>
      </c>
      <c r="W5" s="374">
        <f>+U5-V5</f>
        <v>0</v>
      </c>
    </row>
    <row r="6" spans="1:23" s="74" customFormat="1" ht="14.25" customHeight="1" x14ac:dyDescent="0.2">
      <c r="A6" s="132">
        <f t="shared" ref="A6:A25" si="1">+A5+1</f>
        <v>2</v>
      </c>
      <c r="B6" s="46">
        <v>20331328082</v>
      </c>
      <c r="C6" s="265" t="s">
        <v>148</v>
      </c>
      <c r="D6" s="47">
        <v>44710</v>
      </c>
      <c r="E6" s="136">
        <f t="shared" si="0"/>
        <v>32</v>
      </c>
      <c r="F6" s="263"/>
      <c r="G6" s="263"/>
      <c r="H6" s="263"/>
      <c r="I6" s="263"/>
      <c r="J6" s="370">
        <v>22641.5</v>
      </c>
      <c r="K6" s="271">
        <v>247067.97500000001</v>
      </c>
      <c r="L6" s="271">
        <v>11800</v>
      </c>
      <c r="M6" s="371">
        <f t="shared" ref="M6:M25" si="2">SUM(K6:L6)</f>
        <v>258867.97500000001</v>
      </c>
      <c r="N6" s="199">
        <f t="shared" ref="N6:N25" si="3">MAX(F6:J6,M6)</f>
        <v>258867.97500000001</v>
      </c>
      <c r="O6" s="200">
        <f t="shared" ref="O6:O25" si="4">+K6/2/181*E6</f>
        <v>21840.262983425415</v>
      </c>
      <c r="P6" s="200">
        <f t="shared" ref="P6:P25" si="5">+L6/2/181*E6</f>
        <v>1043.0939226519338</v>
      </c>
      <c r="Q6" s="375">
        <f>+O6*20.5/100</f>
        <v>4477.2539116022099</v>
      </c>
      <c r="R6" s="137">
        <f t="shared" ref="R6:R25" si="6">ROUNDUP(O6-Q6+P6,0)</f>
        <v>18407</v>
      </c>
      <c r="S6" s="73" t="s">
        <v>97</v>
      </c>
      <c r="U6" s="373">
        <f>+N6/2*'1º SAC'!E6/181</f>
        <v>22883.356906077348</v>
      </c>
      <c r="V6" s="374">
        <f t="shared" ref="V6:V25" si="7">+O6+P6</f>
        <v>22883.356906077348</v>
      </c>
      <c r="W6" s="374">
        <f t="shared" ref="W6:W25" si="8">+U6-V6</f>
        <v>0</v>
      </c>
    </row>
    <row r="7" spans="1:23" s="74" customFormat="1" ht="14.25" customHeight="1" x14ac:dyDescent="0.2">
      <c r="A7" s="132">
        <f t="shared" si="1"/>
        <v>3</v>
      </c>
      <c r="B7" s="54">
        <v>23407867149</v>
      </c>
      <c r="C7" s="55" t="s">
        <v>149</v>
      </c>
      <c r="D7" s="47">
        <v>44710</v>
      </c>
      <c r="E7" s="136">
        <f t="shared" si="0"/>
        <v>32</v>
      </c>
      <c r="F7" s="263"/>
      <c r="G7" s="263"/>
      <c r="H7" s="263"/>
      <c r="I7" s="263"/>
      <c r="J7" s="370">
        <v>7922.78</v>
      </c>
      <c r="K7" s="271">
        <v>98994.5</v>
      </c>
      <c r="L7" s="271">
        <v>13010</v>
      </c>
      <c r="M7" s="371">
        <f t="shared" si="2"/>
        <v>112004.5</v>
      </c>
      <c r="N7" s="199">
        <f t="shared" si="3"/>
        <v>112004.5</v>
      </c>
      <c r="O7" s="200">
        <f>+K7/2/181*E7</f>
        <v>8750.8950276243086</v>
      </c>
      <c r="P7" s="200">
        <f>+L7/2/181*E7</f>
        <v>1150.0552486187846</v>
      </c>
      <c r="Q7" s="375">
        <f>+O7*20.5/100</f>
        <v>1793.9334806629831</v>
      </c>
      <c r="R7" s="137">
        <f t="shared" si="6"/>
        <v>8108</v>
      </c>
      <c r="S7" s="73" t="s">
        <v>97</v>
      </c>
      <c r="U7" s="373">
        <f>+N7/2*'1º SAC'!E7/181</f>
        <v>9900.9502762430948</v>
      </c>
      <c r="V7" s="374">
        <f t="shared" si="7"/>
        <v>9900.950276243093</v>
      </c>
      <c r="W7" s="374">
        <f t="shared" si="8"/>
        <v>0</v>
      </c>
    </row>
    <row r="8" spans="1:23" s="74" customFormat="1" ht="14.25" customHeight="1" x14ac:dyDescent="0.2">
      <c r="A8" s="132">
        <f t="shared" si="1"/>
        <v>4</v>
      </c>
      <c r="B8" s="54">
        <v>20426095034</v>
      </c>
      <c r="C8" s="55" t="s">
        <v>150</v>
      </c>
      <c r="D8" s="47">
        <v>44710</v>
      </c>
      <c r="E8" s="136">
        <f t="shared" si="0"/>
        <v>32</v>
      </c>
      <c r="F8" s="263"/>
      <c r="G8" s="263"/>
      <c r="H8" s="263"/>
      <c r="I8" s="263"/>
      <c r="J8" s="371">
        <v>4959.0749999999998</v>
      </c>
      <c r="K8" s="271">
        <v>64823.255000000005</v>
      </c>
      <c r="L8" s="271">
        <v>8521.5499999999993</v>
      </c>
      <c r="M8" s="371">
        <f t="shared" si="2"/>
        <v>73344.805000000008</v>
      </c>
      <c r="N8" s="199">
        <f t="shared" si="3"/>
        <v>73344.805000000008</v>
      </c>
      <c r="O8" s="200">
        <f t="shared" si="4"/>
        <v>5730.232486187846</v>
      </c>
      <c r="P8" s="200">
        <f t="shared" si="5"/>
        <v>753.28618784530386</v>
      </c>
      <c r="Q8" s="375">
        <f t="shared" ref="Q8:Q12" si="9">+O8*20.5/100</f>
        <v>1174.6976596685083</v>
      </c>
      <c r="R8" s="137">
        <f t="shared" si="6"/>
        <v>5309</v>
      </c>
      <c r="S8" s="73" t="s">
        <v>97</v>
      </c>
      <c r="T8" s="74">
        <f>+O8*0.03/65*100</f>
        <v>264.47226859328515</v>
      </c>
      <c r="U8" s="373">
        <f>+N8/2*'1º SAC'!E8/181</f>
        <v>6483.5186740331501</v>
      </c>
      <c r="V8" s="374">
        <f t="shared" si="7"/>
        <v>6483.5186740331501</v>
      </c>
      <c r="W8" s="374">
        <f t="shared" si="8"/>
        <v>0</v>
      </c>
    </row>
    <row r="9" spans="1:23" s="51" customFormat="1" ht="14.25" customHeight="1" x14ac:dyDescent="0.2">
      <c r="A9" s="132">
        <f t="shared" si="1"/>
        <v>5</v>
      </c>
      <c r="B9" s="201">
        <v>20355584098</v>
      </c>
      <c r="C9" s="55" t="s">
        <v>151</v>
      </c>
      <c r="D9" s="203">
        <v>44710</v>
      </c>
      <c r="E9" s="136">
        <f t="shared" si="0"/>
        <v>32</v>
      </c>
      <c r="F9" s="263"/>
      <c r="G9" s="263"/>
      <c r="H9" s="263"/>
      <c r="I9" s="263"/>
      <c r="J9" s="372">
        <v>4959.0749999999998</v>
      </c>
      <c r="K9" s="272">
        <v>64823.255000000005</v>
      </c>
      <c r="L9" s="272">
        <v>8521.5499999999993</v>
      </c>
      <c r="M9" s="371">
        <f t="shared" si="2"/>
        <v>73344.805000000008</v>
      </c>
      <c r="N9" s="199">
        <f t="shared" si="3"/>
        <v>73344.805000000008</v>
      </c>
      <c r="O9" s="200">
        <f t="shared" si="4"/>
        <v>5730.232486187846</v>
      </c>
      <c r="P9" s="200">
        <f t="shared" si="5"/>
        <v>753.28618784530386</v>
      </c>
      <c r="Q9" s="375">
        <f t="shared" si="9"/>
        <v>1174.6976596685083</v>
      </c>
      <c r="R9" s="137">
        <f t="shared" si="6"/>
        <v>5309</v>
      </c>
      <c r="S9" s="196" t="s">
        <v>97</v>
      </c>
      <c r="U9" s="373">
        <f>+N9/2*'1º SAC'!E9/181</f>
        <v>6483.5186740331501</v>
      </c>
      <c r="V9" s="374">
        <f t="shared" si="7"/>
        <v>6483.5186740331501</v>
      </c>
      <c r="W9" s="374">
        <f t="shared" si="8"/>
        <v>0</v>
      </c>
    </row>
    <row r="10" spans="1:23" s="51" customFormat="1" ht="14.25" customHeight="1" x14ac:dyDescent="0.2">
      <c r="A10" s="132">
        <f t="shared" si="1"/>
        <v>6</v>
      </c>
      <c r="B10" s="201">
        <v>20403601013</v>
      </c>
      <c r="C10" s="55" t="s">
        <v>152</v>
      </c>
      <c r="D10" s="208">
        <v>44710</v>
      </c>
      <c r="E10" s="136">
        <f t="shared" si="0"/>
        <v>32</v>
      </c>
      <c r="F10" s="263"/>
      <c r="G10" s="263"/>
      <c r="H10" s="263"/>
      <c r="I10" s="263"/>
      <c r="J10" s="372">
        <v>4515.7749999999996</v>
      </c>
      <c r="K10" s="272">
        <v>59016.025000000001</v>
      </c>
      <c r="L10" s="272">
        <v>7729</v>
      </c>
      <c r="M10" s="371">
        <f t="shared" si="2"/>
        <v>66745.024999999994</v>
      </c>
      <c r="N10" s="199">
        <f t="shared" si="3"/>
        <v>66745.024999999994</v>
      </c>
      <c r="O10" s="200">
        <f t="shared" si="4"/>
        <v>5216.8861878453044</v>
      </c>
      <c r="P10" s="200">
        <f t="shared" si="5"/>
        <v>683.22651933701661</v>
      </c>
      <c r="Q10" s="375">
        <f t="shared" si="9"/>
        <v>1069.4616685082874</v>
      </c>
      <c r="R10" s="137">
        <f t="shared" si="6"/>
        <v>4831</v>
      </c>
      <c r="S10" s="196" t="s">
        <v>97</v>
      </c>
      <c r="U10" s="373">
        <f>+N10/2*'1º SAC'!E10/181</f>
        <v>5900.1127071823203</v>
      </c>
      <c r="V10" s="374">
        <f t="shared" si="7"/>
        <v>5900.1127071823212</v>
      </c>
      <c r="W10" s="374">
        <f t="shared" si="8"/>
        <v>0</v>
      </c>
    </row>
    <row r="11" spans="1:23" s="51" customFormat="1" ht="14.25" customHeight="1" x14ac:dyDescent="0.2">
      <c r="A11" s="132">
        <f t="shared" si="1"/>
        <v>7</v>
      </c>
      <c r="B11" s="201">
        <v>20351621738</v>
      </c>
      <c r="C11" s="55" t="s">
        <v>153</v>
      </c>
      <c r="D11" s="208">
        <v>44710</v>
      </c>
      <c r="E11" s="136">
        <f t="shared" si="0"/>
        <v>32</v>
      </c>
      <c r="F11" s="263"/>
      <c r="G11" s="263"/>
      <c r="H11" s="263"/>
      <c r="I11" s="263"/>
      <c r="J11" s="372">
        <v>4515.7749999999996</v>
      </c>
      <c r="K11" s="272">
        <v>59016.025000000001</v>
      </c>
      <c r="L11" s="272">
        <v>7729</v>
      </c>
      <c r="M11" s="371">
        <f t="shared" si="2"/>
        <v>66745.024999999994</v>
      </c>
      <c r="N11" s="199">
        <f t="shared" si="3"/>
        <v>66745.024999999994</v>
      </c>
      <c r="O11" s="200">
        <f t="shared" si="4"/>
        <v>5216.8861878453044</v>
      </c>
      <c r="P11" s="200">
        <f t="shared" si="5"/>
        <v>683.22651933701661</v>
      </c>
      <c r="Q11" s="375">
        <f t="shared" si="9"/>
        <v>1069.4616685082874</v>
      </c>
      <c r="R11" s="137">
        <f t="shared" si="6"/>
        <v>4831</v>
      </c>
      <c r="S11" s="196" t="s">
        <v>97</v>
      </c>
      <c r="U11" s="373">
        <f>+N11/2*'1º SAC'!E11/181</f>
        <v>5900.1127071823203</v>
      </c>
      <c r="V11" s="374">
        <f t="shared" si="7"/>
        <v>5900.1127071823212</v>
      </c>
      <c r="W11" s="374">
        <f t="shared" si="8"/>
        <v>0</v>
      </c>
    </row>
    <row r="12" spans="1:23" s="51" customFormat="1" ht="14.25" customHeight="1" x14ac:dyDescent="0.2">
      <c r="A12" s="132">
        <f t="shared" si="1"/>
        <v>8</v>
      </c>
      <c r="B12" s="201">
        <v>20428710399</v>
      </c>
      <c r="C12" s="55" t="s">
        <v>154</v>
      </c>
      <c r="D12" s="208">
        <v>44710</v>
      </c>
      <c r="E12" s="136">
        <f t="shared" si="0"/>
        <v>32</v>
      </c>
      <c r="F12" s="263"/>
      <c r="G12" s="263"/>
      <c r="H12" s="263"/>
      <c r="I12" s="263"/>
      <c r="J12" s="372">
        <v>4959.0749999999998</v>
      </c>
      <c r="K12" s="272">
        <v>64823.255000000005</v>
      </c>
      <c r="L12" s="272">
        <v>8521.5499999999993</v>
      </c>
      <c r="M12" s="371">
        <f t="shared" si="2"/>
        <v>73344.805000000008</v>
      </c>
      <c r="N12" s="199">
        <f t="shared" si="3"/>
        <v>73344.805000000008</v>
      </c>
      <c r="O12" s="200">
        <f t="shared" si="4"/>
        <v>5730.232486187846</v>
      </c>
      <c r="P12" s="200">
        <f t="shared" si="5"/>
        <v>753.28618784530386</v>
      </c>
      <c r="Q12" s="375">
        <f t="shared" si="9"/>
        <v>1174.6976596685083</v>
      </c>
      <c r="R12" s="137">
        <f t="shared" si="6"/>
        <v>5309</v>
      </c>
      <c r="S12" s="196" t="s">
        <v>97</v>
      </c>
      <c r="U12" s="373">
        <f>+N12/2*'1º SAC'!E12/181</f>
        <v>6483.5186740331501</v>
      </c>
      <c r="V12" s="374">
        <f t="shared" si="7"/>
        <v>6483.5186740331501</v>
      </c>
      <c r="W12" s="374">
        <f t="shared" si="8"/>
        <v>0</v>
      </c>
    </row>
    <row r="13" spans="1:23" s="51" customFormat="1" ht="14.25" customHeight="1" x14ac:dyDescent="0.2">
      <c r="A13" s="132">
        <f t="shared" si="1"/>
        <v>9</v>
      </c>
      <c r="B13" s="201">
        <v>23290473969</v>
      </c>
      <c r="C13" s="55" t="s">
        <v>155</v>
      </c>
      <c r="D13" s="208">
        <v>44710</v>
      </c>
      <c r="E13" s="136">
        <f t="shared" si="0"/>
        <v>32</v>
      </c>
      <c r="F13" s="263"/>
      <c r="G13" s="263"/>
      <c r="H13" s="263"/>
      <c r="I13" s="263"/>
      <c r="J13" s="372">
        <v>9125.34</v>
      </c>
      <c r="K13" s="272">
        <v>114026.5</v>
      </c>
      <c r="L13" s="272">
        <v>15060</v>
      </c>
      <c r="M13" s="371">
        <f t="shared" si="2"/>
        <v>129086.5</v>
      </c>
      <c r="N13" s="199">
        <f t="shared" si="3"/>
        <v>129086.5</v>
      </c>
      <c r="O13" s="200">
        <f t="shared" si="4"/>
        <v>10079.690607734807</v>
      </c>
      <c r="P13" s="200">
        <f t="shared" si="5"/>
        <v>1331.2707182320441</v>
      </c>
      <c r="Q13" s="375">
        <f>+O13*20.5/100</f>
        <v>2066.3365745856354</v>
      </c>
      <c r="R13" s="137">
        <f t="shared" si="6"/>
        <v>9345</v>
      </c>
      <c r="S13" s="196" t="s">
        <v>97</v>
      </c>
      <c r="U13" s="373">
        <f>+N13/2*'1º SAC'!E13/181</f>
        <v>11410.961325966851</v>
      </c>
      <c r="V13" s="374">
        <f t="shared" si="7"/>
        <v>11410.961325966851</v>
      </c>
      <c r="W13" s="374">
        <f t="shared" si="8"/>
        <v>0</v>
      </c>
    </row>
    <row r="14" spans="1:23" s="51" customFormat="1" ht="14.25" customHeight="1" x14ac:dyDescent="0.2">
      <c r="A14" s="132">
        <f t="shared" si="1"/>
        <v>10</v>
      </c>
      <c r="B14" s="201">
        <v>20304523825</v>
      </c>
      <c r="C14" s="55" t="s">
        <v>156</v>
      </c>
      <c r="D14" s="208">
        <v>44710</v>
      </c>
      <c r="E14" s="136">
        <f t="shared" si="0"/>
        <v>32</v>
      </c>
      <c r="F14" s="263"/>
      <c r="G14" s="263"/>
      <c r="H14" s="263"/>
      <c r="I14" s="263"/>
      <c r="J14" s="372">
        <v>4959.0749999999998</v>
      </c>
      <c r="K14" s="272">
        <v>64823.255000000005</v>
      </c>
      <c r="L14" s="272">
        <v>8521.5499999999993</v>
      </c>
      <c r="M14" s="371">
        <f t="shared" si="2"/>
        <v>73344.805000000008</v>
      </c>
      <c r="N14" s="199">
        <f t="shared" si="3"/>
        <v>73344.805000000008</v>
      </c>
      <c r="O14" s="200">
        <f t="shared" si="4"/>
        <v>5730.232486187846</v>
      </c>
      <c r="P14" s="200">
        <f t="shared" si="5"/>
        <v>753.28618784530386</v>
      </c>
      <c r="Q14" s="375">
        <f t="shared" ref="Q14:Q25" si="10">+O14*20.5/100</f>
        <v>1174.6976596685083</v>
      </c>
      <c r="R14" s="137">
        <f t="shared" si="6"/>
        <v>5309</v>
      </c>
      <c r="S14" s="196" t="s">
        <v>97</v>
      </c>
      <c r="U14" s="373">
        <f>+N14/2*'1º SAC'!E14/181</f>
        <v>6483.5186740331501</v>
      </c>
      <c r="V14" s="374">
        <f t="shared" si="7"/>
        <v>6483.5186740331501</v>
      </c>
      <c r="W14" s="374">
        <f t="shared" si="8"/>
        <v>0</v>
      </c>
    </row>
    <row r="15" spans="1:23" s="51" customFormat="1" ht="14.25" customHeight="1" x14ac:dyDescent="0.2">
      <c r="A15" s="132">
        <f t="shared" si="1"/>
        <v>11</v>
      </c>
      <c r="B15" s="201">
        <v>20322222719</v>
      </c>
      <c r="C15" s="55" t="s">
        <v>157</v>
      </c>
      <c r="D15" s="208">
        <v>44710</v>
      </c>
      <c r="E15" s="136">
        <f t="shared" si="0"/>
        <v>32</v>
      </c>
      <c r="F15" s="263"/>
      <c r="G15" s="263"/>
      <c r="H15" s="263"/>
      <c r="I15" s="263"/>
      <c r="J15" s="372">
        <v>4732.0749999999998</v>
      </c>
      <c r="K15" s="272">
        <v>61849.554999999993</v>
      </c>
      <c r="L15" s="272">
        <v>8115.4500000000007</v>
      </c>
      <c r="M15" s="371">
        <f t="shared" si="2"/>
        <v>69965.00499999999</v>
      </c>
      <c r="N15" s="199">
        <f t="shared" si="3"/>
        <v>69965.00499999999</v>
      </c>
      <c r="O15" s="200">
        <f t="shared" si="4"/>
        <v>5467.3639779005516</v>
      </c>
      <c r="P15" s="200">
        <f t="shared" si="5"/>
        <v>717.38784530386749</v>
      </c>
      <c r="Q15" s="375">
        <f t="shared" si="10"/>
        <v>1120.8096154696132</v>
      </c>
      <c r="R15" s="137">
        <f t="shared" si="6"/>
        <v>5064</v>
      </c>
      <c r="S15" s="196" t="s">
        <v>97</v>
      </c>
      <c r="U15" s="373">
        <f>+N15/2*'1º SAC'!E15/181</f>
        <v>6184.7518232044195</v>
      </c>
      <c r="V15" s="374">
        <f t="shared" si="7"/>
        <v>6184.7518232044195</v>
      </c>
      <c r="W15" s="374">
        <f t="shared" si="8"/>
        <v>0</v>
      </c>
    </row>
    <row r="16" spans="1:23" s="51" customFormat="1" ht="14.25" customHeight="1" x14ac:dyDescent="0.2">
      <c r="A16" s="132">
        <f t="shared" si="1"/>
        <v>12</v>
      </c>
      <c r="B16" s="201">
        <v>20425599829</v>
      </c>
      <c r="C16" s="55" t="s">
        <v>158</v>
      </c>
      <c r="D16" s="208">
        <v>44710</v>
      </c>
      <c r="E16" s="136">
        <f t="shared" si="0"/>
        <v>32</v>
      </c>
      <c r="F16" s="263"/>
      <c r="G16" s="263"/>
      <c r="H16" s="263"/>
      <c r="I16" s="263"/>
      <c r="J16" s="372">
        <v>4959.0749999999998</v>
      </c>
      <c r="K16" s="272">
        <v>64823.255000000005</v>
      </c>
      <c r="L16" s="272">
        <v>8521.5499999999993</v>
      </c>
      <c r="M16" s="371">
        <f t="shared" si="2"/>
        <v>73344.805000000008</v>
      </c>
      <c r="N16" s="199">
        <f t="shared" si="3"/>
        <v>73344.805000000008</v>
      </c>
      <c r="O16" s="200">
        <f t="shared" si="4"/>
        <v>5730.232486187846</v>
      </c>
      <c r="P16" s="200">
        <f t="shared" si="5"/>
        <v>753.28618784530386</v>
      </c>
      <c r="Q16" s="375">
        <f t="shared" si="10"/>
        <v>1174.6976596685083</v>
      </c>
      <c r="R16" s="137">
        <f t="shared" si="6"/>
        <v>5309</v>
      </c>
      <c r="S16" s="196" t="s">
        <v>97</v>
      </c>
      <c r="U16" s="373">
        <f>+N16/2*'1º SAC'!E16/181</f>
        <v>6483.5186740331501</v>
      </c>
      <c r="V16" s="374">
        <f t="shared" si="7"/>
        <v>6483.5186740331501</v>
      </c>
      <c r="W16" s="374">
        <f t="shared" si="8"/>
        <v>0</v>
      </c>
    </row>
    <row r="17" spans="1:23" s="51" customFormat="1" ht="14.25" customHeight="1" x14ac:dyDescent="0.2">
      <c r="A17" s="132">
        <f t="shared" si="1"/>
        <v>13</v>
      </c>
      <c r="B17" s="201">
        <v>20418603136</v>
      </c>
      <c r="C17" s="55" t="s">
        <v>159</v>
      </c>
      <c r="D17" s="208">
        <v>44710</v>
      </c>
      <c r="E17" s="136">
        <f t="shared" si="0"/>
        <v>32</v>
      </c>
      <c r="F17" s="263"/>
      <c r="G17" s="263"/>
      <c r="H17" s="263"/>
      <c r="I17" s="263"/>
      <c r="J17" s="372">
        <v>4959.0749999999998</v>
      </c>
      <c r="K17" s="272">
        <v>64823.255000000005</v>
      </c>
      <c r="L17" s="272">
        <v>8521.5499999999993</v>
      </c>
      <c r="M17" s="371">
        <f t="shared" si="2"/>
        <v>73344.805000000008</v>
      </c>
      <c r="N17" s="199">
        <f t="shared" si="3"/>
        <v>73344.805000000008</v>
      </c>
      <c r="O17" s="200">
        <f t="shared" si="4"/>
        <v>5730.232486187846</v>
      </c>
      <c r="P17" s="200">
        <f t="shared" si="5"/>
        <v>753.28618784530386</v>
      </c>
      <c r="Q17" s="375">
        <f t="shared" si="10"/>
        <v>1174.6976596685083</v>
      </c>
      <c r="R17" s="137">
        <f t="shared" si="6"/>
        <v>5309</v>
      </c>
      <c r="S17" s="196" t="s">
        <v>97</v>
      </c>
      <c r="U17" s="373">
        <f>+N17/2*'1º SAC'!E17/181</f>
        <v>6483.5186740331501</v>
      </c>
      <c r="V17" s="374">
        <f t="shared" si="7"/>
        <v>6483.5186740331501</v>
      </c>
      <c r="W17" s="374">
        <f t="shared" si="8"/>
        <v>0</v>
      </c>
    </row>
    <row r="18" spans="1:23" s="51" customFormat="1" ht="14.25" customHeight="1" x14ac:dyDescent="0.2">
      <c r="A18" s="132">
        <f t="shared" si="1"/>
        <v>14</v>
      </c>
      <c r="B18" s="201">
        <v>20320535248</v>
      </c>
      <c r="C18" s="55" t="s">
        <v>160</v>
      </c>
      <c r="D18" s="208">
        <v>44710</v>
      </c>
      <c r="E18" s="136">
        <f t="shared" si="0"/>
        <v>32</v>
      </c>
      <c r="F18" s="263"/>
      <c r="G18" s="263"/>
      <c r="H18" s="263"/>
      <c r="I18" s="263"/>
      <c r="J18" s="372">
        <v>7559.58</v>
      </c>
      <c r="K18" s="272">
        <v>94454.5</v>
      </c>
      <c r="L18" s="272">
        <v>12390</v>
      </c>
      <c r="M18" s="371">
        <f t="shared" si="2"/>
        <v>106844.5</v>
      </c>
      <c r="N18" s="199">
        <f t="shared" si="3"/>
        <v>106844.5</v>
      </c>
      <c r="O18" s="200">
        <f t="shared" si="4"/>
        <v>8349.5690607734814</v>
      </c>
      <c r="P18" s="200">
        <f t="shared" si="5"/>
        <v>1095.2486187845304</v>
      </c>
      <c r="Q18" s="375">
        <f t="shared" si="10"/>
        <v>1711.6616574585635</v>
      </c>
      <c r="R18" s="137">
        <f t="shared" si="6"/>
        <v>7734</v>
      </c>
      <c r="S18" s="196" t="s">
        <v>97</v>
      </c>
      <c r="U18" s="373">
        <f>+N18/2*'1º SAC'!E18/181</f>
        <v>9444.8176795580112</v>
      </c>
      <c r="V18" s="374">
        <f t="shared" si="7"/>
        <v>9444.8176795580112</v>
      </c>
      <c r="W18" s="374">
        <f t="shared" si="8"/>
        <v>0</v>
      </c>
    </row>
    <row r="19" spans="1:23" s="51" customFormat="1" ht="14.25" customHeight="1" x14ac:dyDescent="0.2">
      <c r="A19" s="132">
        <f t="shared" si="1"/>
        <v>15</v>
      </c>
      <c r="B19" s="201">
        <v>20403630382</v>
      </c>
      <c r="C19" s="55" t="s">
        <v>161</v>
      </c>
      <c r="D19" s="208">
        <v>44710</v>
      </c>
      <c r="E19" s="136">
        <f t="shared" si="0"/>
        <v>32</v>
      </c>
      <c r="F19" s="263"/>
      <c r="G19" s="263"/>
      <c r="H19" s="263"/>
      <c r="I19" s="263"/>
      <c r="J19" s="372">
        <v>4732.0749999999998</v>
      </c>
      <c r="K19" s="272">
        <v>61849.554999999993</v>
      </c>
      <c r="L19" s="272">
        <v>8115.4500000000007</v>
      </c>
      <c r="M19" s="371">
        <f t="shared" si="2"/>
        <v>69965.00499999999</v>
      </c>
      <c r="N19" s="199">
        <f t="shared" si="3"/>
        <v>69965.00499999999</v>
      </c>
      <c r="O19" s="200">
        <f t="shared" si="4"/>
        <v>5467.3639779005516</v>
      </c>
      <c r="P19" s="200">
        <f t="shared" si="5"/>
        <v>717.38784530386749</v>
      </c>
      <c r="Q19" s="375">
        <f t="shared" si="10"/>
        <v>1120.8096154696132</v>
      </c>
      <c r="R19" s="137">
        <f t="shared" si="6"/>
        <v>5064</v>
      </c>
      <c r="S19" s="196" t="s">
        <v>97</v>
      </c>
      <c r="U19" s="373">
        <f>+N19/2*'1º SAC'!E19/181</f>
        <v>6184.7518232044195</v>
      </c>
      <c r="V19" s="374">
        <f t="shared" si="7"/>
        <v>6184.7518232044195</v>
      </c>
      <c r="W19" s="374">
        <f t="shared" si="8"/>
        <v>0</v>
      </c>
    </row>
    <row r="20" spans="1:23" s="51" customFormat="1" ht="14.25" customHeight="1" x14ac:dyDescent="0.2">
      <c r="A20" s="132">
        <f t="shared" si="1"/>
        <v>16</v>
      </c>
      <c r="B20" s="201">
        <v>20410868874</v>
      </c>
      <c r="C20" s="55" t="s">
        <v>162</v>
      </c>
      <c r="D20" s="208">
        <v>44710</v>
      </c>
      <c r="E20" s="136">
        <f t="shared" si="0"/>
        <v>32</v>
      </c>
      <c r="F20" s="263"/>
      <c r="G20" s="263"/>
      <c r="H20" s="263"/>
      <c r="I20" s="263"/>
      <c r="J20" s="372">
        <v>4732.0749999999998</v>
      </c>
      <c r="K20" s="272">
        <v>61849.554999999993</v>
      </c>
      <c r="L20" s="272">
        <v>8115.4500000000007</v>
      </c>
      <c r="M20" s="371">
        <f t="shared" si="2"/>
        <v>69965.00499999999</v>
      </c>
      <c r="N20" s="199">
        <f t="shared" si="3"/>
        <v>69965.00499999999</v>
      </c>
      <c r="O20" s="200">
        <f t="shared" si="4"/>
        <v>5467.3639779005516</v>
      </c>
      <c r="P20" s="200">
        <f t="shared" si="5"/>
        <v>717.38784530386749</v>
      </c>
      <c r="Q20" s="375">
        <f t="shared" si="10"/>
        <v>1120.8096154696132</v>
      </c>
      <c r="R20" s="137">
        <f t="shared" si="6"/>
        <v>5064</v>
      </c>
      <c r="S20" s="196" t="s">
        <v>97</v>
      </c>
      <c r="U20" s="373">
        <f>+N20/2*'1º SAC'!E20/181</f>
        <v>6184.7518232044195</v>
      </c>
      <c r="V20" s="374">
        <f t="shared" si="7"/>
        <v>6184.7518232044195</v>
      </c>
      <c r="W20" s="374">
        <f t="shared" si="8"/>
        <v>0</v>
      </c>
    </row>
    <row r="21" spans="1:23" s="51" customFormat="1" ht="14.25" customHeight="1" x14ac:dyDescent="0.2">
      <c r="A21" s="132">
        <f t="shared" si="1"/>
        <v>17</v>
      </c>
      <c r="B21" s="201">
        <v>23401204679</v>
      </c>
      <c r="C21" s="55" t="s">
        <v>163</v>
      </c>
      <c r="D21" s="208">
        <v>44710</v>
      </c>
      <c r="E21" s="136">
        <f t="shared" si="0"/>
        <v>32</v>
      </c>
      <c r="F21" s="263"/>
      <c r="G21" s="263"/>
      <c r="H21" s="263"/>
      <c r="I21" s="263"/>
      <c r="J21" s="372">
        <v>4515.7749999999996</v>
      </c>
      <c r="K21" s="272">
        <v>59016.025000000001</v>
      </c>
      <c r="L21" s="272">
        <v>7729</v>
      </c>
      <c r="M21" s="371">
        <f t="shared" si="2"/>
        <v>66745.024999999994</v>
      </c>
      <c r="N21" s="199">
        <f t="shared" si="3"/>
        <v>66745.024999999994</v>
      </c>
      <c r="O21" s="200">
        <f t="shared" si="4"/>
        <v>5216.8861878453044</v>
      </c>
      <c r="P21" s="200">
        <f t="shared" si="5"/>
        <v>683.22651933701661</v>
      </c>
      <c r="Q21" s="375">
        <f t="shared" si="10"/>
        <v>1069.4616685082874</v>
      </c>
      <c r="R21" s="137">
        <f t="shared" si="6"/>
        <v>4831</v>
      </c>
      <c r="S21" s="196" t="s">
        <v>97</v>
      </c>
      <c r="U21" s="373">
        <f>+N21/2*'1º SAC'!E21/181</f>
        <v>5900.1127071823203</v>
      </c>
      <c r="V21" s="374">
        <f t="shared" si="7"/>
        <v>5900.1127071823212</v>
      </c>
      <c r="W21" s="374">
        <f t="shared" si="8"/>
        <v>0</v>
      </c>
    </row>
    <row r="22" spans="1:23" s="51" customFormat="1" ht="14.25" customHeight="1" x14ac:dyDescent="0.2">
      <c r="A22" s="132">
        <f t="shared" si="1"/>
        <v>18</v>
      </c>
      <c r="B22" s="201">
        <v>20438407325</v>
      </c>
      <c r="C22" s="55" t="s">
        <v>164</v>
      </c>
      <c r="D22" s="208">
        <v>44710</v>
      </c>
      <c r="E22" s="136">
        <f t="shared" si="0"/>
        <v>32</v>
      </c>
      <c r="F22" s="263"/>
      <c r="G22" s="263"/>
      <c r="H22" s="263"/>
      <c r="I22" s="263"/>
      <c r="J22" s="372">
        <v>4732.0749999999998</v>
      </c>
      <c r="K22" s="272">
        <v>61849.554999999993</v>
      </c>
      <c r="L22" s="272">
        <v>8115.4500000000007</v>
      </c>
      <c r="M22" s="371">
        <f t="shared" si="2"/>
        <v>69965.00499999999</v>
      </c>
      <c r="N22" s="199">
        <f t="shared" si="3"/>
        <v>69965.00499999999</v>
      </c>
      <c r="O22" s="200">
        <f t="shared" si="4"/>
        <v>5467.3639779005516</v>
      </c>
      <c r="P22" s="200">
        <f t="shared" si="5"/>
        <v>717.38784530386749</v>
      </c>
      <c r="Q22" s="375">
        <f t="shared" si="10"/>
        <v>1120.8096154696132</v>
      </c>
      <c r="R22" s="137">
        <f t="shared" si="6"/>
        <v>5064</v>
      </c>
      <c r="S22" s="196" t="s">
        <v>97</v>
      </c>
      <c r="U22" s="373">
        <f>+N22/2*'1º SAC'!E22/181</f>
        <v>6184.7518232044195</v>
      </c>
      <c r="V22" s="374">
        <f t="shared" si="7"/>
        <v>6184.7518232044195</v>
      </c>
      <c r="W22" s="374">
        <f t="shared" si="8"/>
        <v>0</v>
      </c>
    </row>
    <row r="23" spans="1:23" s="51" customFormat="1" ht="14.25" customHeight="1" x14ac:dyDescent="0.2">
      <c r="A23" s="132">
        <f t="shared" si="1"/>
        <v>19</v>
      </c>
      <c r="B23" s="201">
        <v>23429243939</v>
      </c>
      <c r="C23" s="55" t="s">
        <v>166</v>
      </c>
      <c r="D23" s="208">
        <v>44710</v>
      </c>
      <c r="E23" s="136">
        <f t="shared" si="0"/>
        <v>32</v>
      </c>
      <c r="F23" s="263"/>
      <c r="G23" s="263"/>
      <c r="H23" s="263"/>
      <c r="I23" s="263"/>
      <c r="J23" s="372">
        <v>4515.7749999999996</v>
      </c>
      <c r="K23" s="272">
        <v>59016.025000000001</v>
      </c>
      <c r="L23" s="272">
        <v>7729</v>
      </c>
      <c r="M23" s="371">
        <f t="shared" si="2"/>
        <v>66745.024999999994</v>
      </c>
      <c r="N23" s="199">
        <f t="shared" si="3"/>
        <v>66745.024999999994</v>
      </c>
      <c r="O23" s="200">
        <f t="shared" si="4"/>
        <v>5216.8861878453044</v>
      </c>
      <c r="P23" s="200">
        <f t="shared" si="5"/>
        <v>683.22651933701661</v>
      </c>
      <c r="Q23" s="375">
        <f t="shared" si="10"/>
        <v>1069.4616685082874</v>
      </c>
      <c r="R23" s="137">
        <f t="shared" si="6"/>
        <v>4831</v>
      </c>
      <c r="S23" s="196" t="s">
        <v>97</v>
      </c>
      <c r="U23" s="373">
        <f>+N23/2*'1º SAC'!E23/181</f>
        <v>5900.1127071823203</v>
      </c>
      <c r="V23" s="374">
        <f t="shared" si="7"/>
        <v>5900.1127071823212</v>
      </c>
      <c r="W23" s="374">
        <f t="shared" si="8"/>
        <v>0</v>
      </c>
    </row>
    <row r="24" spans="1:23" s="51" customFormat="1" ht="14.25" customHeight="1" x14ac:dyDescent="0.2">
      <c r="A24" s="132">
        <f t="shared" si="1"/>
        <v>20</v>
      </c>
      <c r="B24" s="201">
        <v>20372389584</v>
      </c>
      <c r="C24" s="55" t="s">
        <v>167</v>
      </c>
      <c r="D24" s="208">
        <v>44710</v>
      </c>
      <c r="E24" s="136">
        <f t="shared" si="0"/>
        <v>32</v>
      </c>
      <c r="F24" s="263"/>
      <c r="G24" s="263"/>
      <c r="H24" s="263"/>
      <c r="I24" s="263"/>
      <c r="J24" s="372">
        <v>8168.951543209876</v>
      </c>
      <c r="K24" s="272">
        <v>71177.785631260194</v>
      </c>
      <c r="L24" s="272">
        <v>8521.5499999999993</v>
      </c>
      <c r="M24" s="371">
        <f t="shared" si="2"/>
        <v>79699.335631260197</v>
      </c>
      <c r="N24" s="199">
        <f t="shared" si="3"/>
        <v>79699.335631260197</v>
      </c>
      <c r="O24" s="200">
        <f t="shared" si="4"/>
        <v>6291.9589508296303</v>
      </c>
      <c r="P24" s="200">
        <f t="shared" si="5"/>
        <v>753.28618784530386</v>
      </c>
      <c r="Q24" s="375">
        <f t="shared" si="10"/>
        <v>1289.8515849200742</v>
      </c>
      <c r="R24" s="137">
        <f t="shared" si="6"/>
        <v>5756</v>
      </c>
      <c r="S24" s="196" t="s">
        <v>97</v>
      </c>
      <c r="U24" s="373">
        <f>+N24/2*'1º SAC'!E24/181</f>
        <v>7045.2451386749344</v>
      </c>
      <c r="V24" s="374">
        <f t="shared" si="7"/>
        <v>7045.2451386749344</v>
      </c>
      <c r="W24" s="374">
        <f t="shared" si="8"/>
        <v>0</v>
      </c>
    </row>
    <row r="25" spans="1:23" s="51" customFormat="1" ht="14.25" customHeight="1" x14ac:dyDescent="0.2">
      <c r="A25" s="132">
        <f t="shared" si="1"/>
        <v>21</v>
      </c>
      <c r="B25" s="201">
        <v>20413593442</v>
      </c>
      <c r="C25" s="55" t="s">
        <v>165</v>
      </c>
      <c r="D25" s="208">
        <v>44710</v>
      </c>
      <c r="E25" s="136">
        <f t="shared" si="0"/>
        <v>32</v>
      </c>
      <c r="F25" s="263"/>
      <c r="G25" s="263"/>
      <c r="H25" s="263"/>
      <c r="I25" s="263"/>
      <c r="J25" s="372">
        <v>4515.7749999999996</v>
      </c>
      <c r="K25" s="272">
        <v>59016.025000000001</v>
      </c>
      <c r="L25" s="272">
        <v>7729</v>
      </c>
      <c r="M25" s="371">
        <f t="shared" si="2"/>
        <v>66745.024999999994</v>
      </c>
      <c r="N25" s="199">
        <f t="shared" si="3"/>
        <v>66745.024999999994</v>
      </c>
      <c r="O25" s="200">
        <f t="shared" si="4"/>
        <v>5216.8861878453044</v>
      </c>
      <c r="P25" s="200">
        <f t="shared" si="5"/>
        <v>683.22651933701661</v>
      </c>
      <c r="Q25" s="375">
        <f t="shared" si="10"/>
        <v>1069.4616685082874</v>
      </c>
      <c r="R25" s="137">
        <f t="shared" si="6"/>
        <v>4831</v>
      </c>
      <c r="S25" s="196" t="s">
        <v>97</v>
      </c>
      <c r="U25" s="373">
        <f>+N25/2*'1º SAC'!E25/181</f>
        <v>5900.1127071823203</v>
      </c>
      <c r="V25" s="374">
        <f t="shared" si="7"/>
        <v>5900.1127071823212</v>
      </c>
      <c r="W25" s="374">
        <f t="shared" si="8"/>
        <v>0</v>
      </c>
    </row>
    <row r="26" spans="1:23" s="75" customFormat="1" ht="19.5" customHeight="1" x14ac:dyDescent="0.2">
      <c r="A26" s="538" t="s">
        <v>48</v>
      </c>
      <c r="B26" s="539"/>
      <c r="C26" s="539"/>
      <c r="D26" s="539"/>
      <c r="E26" s="540"/>
      <c r="F26" s="194">
        <f>SUM(F5:F10)</f>
        <v>0</v>
      </c>
      <c r="G26" s="194">
        <f t="shared" ref="G26:I26" si="11">SUM(G5:G10)</f>
        <v>0</v>
      </c>
      <c r="H26" s="194">
        <f t="shared" si="11"/>
        <v>0</v>
      </c>
      <c r="I26" s="194">
        <f t="shared" si="11"/>
        <v>0</v>
      </c>
      <c r="J26" s="194">
        <f t="shared" ref="J26:M26" si="12">SUM(J5:J25)</f>
        <v>149321.27654320982</v>
      </c>
      <c r="K26" s="194">
        <f t="shared" si="12"/>
        <v>1804207.1106312596</v>
      </c>
      <c r="L26" s="194">
        <f t="shared" si="12"/>
        <v>194817.65000000002</v>
      </c>
      <c r="M26" s="194">
        <f t="shared" si="12"/>
        <v>1999024.7606312593</v>
      </c>
      <c r="N26" s="194">
        <f>SUM(N5:N25)</f>
        <v>1999024.7606312593</v>
      </c>
      <c r="O26" s="194">
        <f t="shared" ref="O26:R26" si="13">SUM(O5:O25)</f>
        <v>159487.92138176889</v>
      </c>
      <c r="P26" s="194">
        <f t="shared" si="13"/>
        <v>17221.449723756905</v>
      </c>
      <c r="Q26" s="194">
        <f t="shared" si="13"/>
        <v>32695.023883262624</v>
      </c>
      <c r="R26" s="194">
        <f t="shared" si="13"/>
        <v>144022</v>
      </c>
    </row>
    <row r="27" spans="1:23" ht="13.5" x14ac:dyDescent="0.25">
      <c r="A27" s="23"/>
      <c r="B27" s="23"/>
      <c r="C27" s="76"/>
      <c r="D27" s="24"/>
      <c r="E27" s="25"/>
      <c r="F27" s="2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</sheetData>
  <autoFilter ref="A4:W26"/>
  <mergeCells count="3">
    <mergeCell ref="G1:H1"/>
    <mergeCell ref="A26:E26"/>
    <mergeCell ref="K3:M3"/>
  </mergeCells>
  <pageMargins left="0.70866141732283472" right="0.39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A27"/>
  <sheetViews>
    <sheetView topLeftCell="C3" zoomScaleNormal="100" workbookViewId="0">
      <selection activeCell="K6" sqref="K6"/>
    </sheetView>
  </sheetViews>
  <sheetFormatPr baseColWidth="10" defaultRowHeight="12.75" customHeight="1" x14ac:dyDescent="0.2"/>
  <cols>
    <col min="1" max="1" width="5.85546875" customWidth="1"/>
    <col min="2" max="2" width="14" customWidth="1"/>
    <col min="3" max="3" width="26.85546875" customWidth="1"/>
    <col min="4" max="4" width="10.140625" customWidth="1"/>
    <col min="5" max="5" width="8.28515625" customWidth="1"/>
    <col min="6" max="7" width="7.85546875" customWidth="1"/>
    <col min="8" max="8" width="7.7109375" customWidth="1"/>
    <col min="9" max="9" width="8.28515625" customWidth="1"/>
    <col min="10" max="13" width="10.5703125" customWidth="1"/>
    <col min="14" max="14" width="12.7109375" customWidth="1"/>
    <col min="15" max="17" width="9.85546875" customWidth="1"/>
    <col min="18" max="18" width="10.5703125" customWidth="1"/>
    <col min="19" max="19" width="11.140625" customWidth="1"/>
  </cols>
  <sheetData>
    <row r="1" spans="1:27" ht="23.25" x14ac:dyDescent="0.35">
      <c r="A1" s="67" t="str">
        <f>+'NOMINA MES'!A1</f>
        <v>COOP AGRICOLA GANADERA AARON CASTELLANOS</v>
      </c>
      <c r="B1" s="68"/>
      <c r="C1" s="68"/>
      <c r="D1" s="68"/>
      <c r="E1" s="68"/>
      <c r="F1" s="68"/>
      <c r="G1" s="537">
        <v>44742</v>
      </c>
      <c r="H1" s="537"/>
      <c r="I1" s="23"/>
      <c r="J1" s="23"/>
      <c r="K1" s="23"/>
      <c r="L1" s="23"/>
      <c r="M1" s="23"/>
      <c r="N1" s="23"/>
      <c r="O1" s="23"/>
      <c r="P1" s="23"/>
      <c r="Q1" s="23"/>
      <c r="R1" s="23"/>
      <c r="S1" s="31"/>
    </row>
    <row r="2" spans="1:27" ht="24" customHeight="1" x14ac:dyDescent="0.25">
      <c r="A2" s="133" t="s">
        <v>191</v>
      </c>
      <c r="B2" s="68"/>
      <c r="C2" s="68"/>
      <c r="D2" s="68"/>
      <c r="E2" s="68"/>
      <c r="F2" s="68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72">
        <v>44742</v>
      </c>
    </row>
    <row r="3" spans="1:27" ht="13.5" x14ac:dyDescent="0.25">
      <c r="A3" s="32"/>
      <c r="B3" s="32"/>
      <c r="C3" s="33"/>
      <c r="D3" s="34"/>
      <c r="E3" s="34"/>
      <c r="F3" s="35"/>
      <c r="G3" s="25"/>
      <c r="H3" s="23"/>
      <c r="I3" s="23"/>
      <c r="J3" s="23"/>
      <c r="K3" s="541">
        <v>44713</v>
      </c>
      <c r="L3" s="542"/>
      <c r="M3" s="543"/>
      <c r="N3" s="23"/>
      <c r="O3" s="23"/>
      <c r="P3" s="23"/>
      <c r="Q3" s="23"/>
      <c r="R3" s="23"/>
      <c r="S3" s="31"/>
    </row>
    <row r="4" spans="1:27" s="57" customFormat="1" ht="38.25" x14ac:dyDescent="0.2">
      <c r="A4" s="69" t="str">
        <f>+'NOMINA MES'!A5</f>
        <v>Nº</v>
      </c>
      <c r="B4" s="69" t="s">
        <v>19</v>
      </c>
      <c r="C4" s="69" t="s">
        <v>20</v>
      </c>
      <c r="D4" s="70" t="s">
        <v>21</v>
      </c>
      <c r="E4" s="70" t="s">
        <v>22</v>
      </c>
      <c r="F4" s="79">
        <v>44562</v>
      </c>
      <c r="G4" s="79">
        <v>44593</v>
      </c>
      <c r="H4" s="79">
        <v>44621</v>
      </c>
      <c r="I4" s="79">
        <v>44652</v>
      </c>
      <c r="J4" s="79">
        <v>44682</v>
      </c>
      <c r="K4" s="368" t="s">
        <v>185</v>
      </c>
      <c r="L4" s="368" t="s">
        <v>186</v>
      </c>
      <c r="M4" s="368" t="s">
        <v>187</v>
      </c>
      <c r="N4" s="131" t="s">
        <v>23</v>
      </c>
      <c r="O4" s="138" t="s">
        <v>188</v>
      </c>
      <c r="P4" s="138" t="s">
        <v>189</v>
      </c>
      <c r="Q4" s="71" t="s">
        <v>24</v>
      </c>
      <c r="R4" s="139" t="s">
        <v>91</v>
      </c>
      <c r="S4" s="134">
        <v>44562</v>
      </c>
      <c r="U4" s="383" t="s">
        <v>193</v>
      </c>
      <c r="V4" s="383" t="s">
        <v>194</v>
      </c>
      <c r="W4" s="383" t="s">
        <v>195</v>
      </c>
      <c r="X4" s="383" t="s">
        <v>196</v>
      </c>
    </row>
    <row r="5" spans="1:27" s="74" customFormat="1" ht="14.25" customHeight="1" x14ac:dyDescent="0.2">
      <c r="A5" s="132">
        <f>1</f>
        <v>1</v>
      </c>
      <c r="B5" s="54">
        <v>20267676527</v>
      </c>
      <c r="C5" s="265" t="s">
        <v>146</v>
      </c>
      <c r="D5" s="78">
        <v>44710</v>
      </c>
      <c r="E5" s="136">
        <f t="shared" ref="E5:E25" si="0">IF(D5&gt;$S$4,DATEDIF(D5,$S$2,"d"),181)</f>
        <v>32</v>
      </c>
      <c r="F5" s="263"/>
      <c r="G5" s="263"/>
      <c r="H5" s="263"/>
      <c r="I5" s="263"/>
      <c r="J5" s="370">
        <v>22641.5</v>
      </c>
      <c r="K5" s="271">
        <v>247991.97500000001</v>
      </c>
      <c r="L5" s="271">
        <v>11800</v>
      </c>
      <c r="M5" s="371">
        <f>SUM(K5:L5)</f>
        <v>259791.97500000001</v>
      </c>
      <c r="N5" s="199">
        <f>MAX(F5:J5,M5)</f>
        <v>259791.97500000001</v>
      </c>
      <c r="O5" s="200">
        <f>+K5/2/181*E5</f>
        <v>21921.942541436463</v>
      </c>
      <c r="P5" s="200">
        <f>+L5/2/181*E5</f>
        <v>1043.0939226519338</v>
      </c>
      <c r="Q5" s="375">
        <f>+O5*20.5/100</f>
        <v>4493.9982209944747</v>
      </c>
      <c r="R5" s="137">
        <f>ROUNDUP(O5-Q5+P5,0)</f>
        <v>18472</v>
      </c>
      <c r="S5" s="73" t="s">
        <v>97</v>
      </c>
      <c r="U5" s="382">
        <v>21840.262983425415</v>
      </c>
      <c r="V5" s="382">
        <v>1043.0939226519338</v>
      </c>
      <c r="W5" s="384">
        <f>+O5-U5</f>
        <v>81.679558011048357</v>
      </c>
      <c r="X5" s="384">
        <f>+P5-V5</f>
        <v>0</v>
      </c>
      <c r="Y5" s="373">
        <f>+N5/2*'1º SAC (2)'!E5/181</f>
        <v>22965.0364640884</v>
      </c>
      <c r="Z5" s="374">
        <f>+O5+P5</f>
        <v>22965.036464088396</v>
      </c>
      <c r="AA5" s="374">
        <f>+Y5-Z5</f>
        <v>0</v>
      </c>
    </row>
    <row r="6" spans="1:27" s="74" customFormat="1" ht="14.25" customHeight="1" x14ac:dyDescent="0.2">
      <c r="A6" s="132">
        <f t="shared" ref="A6:A25" si="1">+A5+1</f>
        <v>2</v>
      </c>
      <c r="B6" s="46">
        <v>20331328082</v>
      </c>
      <c r="C6" s="265" t="s">
        <v>148</v>
      </c>
      <c r="D6" s="47">
        <v>44710</v>
      </c>
      <c r="E6" s="136">
        <f t="shared" si="0"/>
        <v>32</v>
      </c>
      <c r="F6" s="263"/>
      <c r="G6" s="263"/>
      <c r="H6" s="263"/>
      <c r="I6" s="263"/>
      <c r="J6" s="370">
        <v>22641.5</v>
      </c>
      <c r="K6" s="271">
        <v>160821.815</v>
      </c>
      <c r="L6" s="271">
        <v>11800</v>
      </c>
      <c r="M6" s="371">
        <f t="shared" ref="M6:M25" si="2">SUM(K6:L6)</f>
        <v>172621.815</v>
      </c>
      <c r="N6" s="199">
        <f t="shared" ref="N6:N25" si="3">MAX(F6:J6,M6)</f>
        <v>172621.815</v>
      </c>
      <c r="O6" s="200">
        <f t="shared" ref="O6:O25" si="4">+K6/2/181*E6</f>
        <v>14216.293038674034</v>
      </c>
      <c r="P6" s="200">
        <f t="shared" ref="P6:P25" si="5">+L6/2/181*E6</f>
        <v>1043.0939226519338</v>
      </c>
      <c r="Q6" s="375">
        <f>+O6*20.5/100</f>
        <v>2914.3400729281771</v>
      </c>
      <c r="R6" s="137">
        <f t="shared" ref="R6:R25" si="6">ROUNDUP(O6-Q6+P6,0)</f>
        <v>12346</v>
      </c>
      <c r="S6" s="73" t="s">
        <v>97</v>
      </c>
      <c r="U6" s="382">
        <v>21840.262983425415</v>
      </c>
      <c r="V6" s="382">
        <v>1043.0939226519338</v>
      </c>
      <c r="W6" s="384">
        <f t="shared" ref="W6:W25" si="7">+O6-U6</f>
        <v>-7623.9699447513813</v>
      </c>
      <c r="X6" s="384">
        <f t="shared" ref="X6:X25" si="8">+P6-V6</f>
        <v>0</v>
      </c>
      <c r="Y6" s="373">
        <f>+N6/2*'1º SAC (2)'!E6/181</f>
        <v>15259.386961325967</v>
      </c>
      <c r="Z6" s="374">
        <f t="shared" ref="Z6:Z25" si="9">+O6+P6</f>
        <v>15259.386961325967</v>
      </c>
      <c r="AA6" s="374">
        <f t="shared" ref="AA6:AA25" si="10">+Y6-Z6</f>
        <v>0</v>
      </c>
    </row>
    <row r="7" spans="1:27" s="74" customFormat="1" ht="14.25" customHeight="1" x14ac:dyDescent="0.2">
      <c r="A7" s="132">
        <f t="shared" si="1"/>
        <v>3</v>
      </c>
      <c r="B7" s="54">
        <v>23407867149</v>
      </c>
      <c r="C7" s="55" t="s">
        <v>149</v>
      </c>
      <c r="D7" s="47">
        <v>44710</v>
      </c>
      <c r="E7" s="136">
        <f t="shared" si="0"/>
        <v>32</v>
      </c>
      <c r="F7" s="263"/>
      <c r="G7" s="263"/>
      <c r="H7" s="263"/>
      <c r="I7" s="263"/>
      <c r="J7" s="370">
        <v>7922.78</v>
      </c>
      <c r="K7" s="271">
        <v>102036</v>
      </c>
      <c r="L7" s="271">
        <v>13010</v>
      </c>
      <c r="M7" s="371">
        <f t="shared" si="2"/>
        <v>115046</v>
      </c>
      <c r="N7" s="199">
        <f t="shared" si="3"/>
        <v>115046</v>
      </c>
      <c r="O7" s="200">
        <f>+K7/2/181*E7</f>
        <v>9019.7569060773476</v>
      </c>
      <c r="P7" s="200">
        <f>+L7/2/181*E7</f>
        <v>1150.0552486187846</v>
      </c>
      <c r="Q7" s="375">
        <f>+O7*20.5/100</f>
        <v>1849.0501657458562</v>
      </c>
      <c r="R7" s="137">
        <f t="shared" si="6"/>
        <v>8321</v>
      </c>
      <c r="S7" s="73" t="s">
        <v>97</v>
      </c>
      <c r="U7" s="382">
        <v>8750.8950276243086</v>
      </c>
      <c r="V7" s="382">
        <v>1150.0552486187846</v>
      </c>
      <c r="W7" s="384">
        <f t="shared" si="7"/>
        <v>268.86187845303903</v>
      </c>
      <c r="X7" s="384">
        <f t="shared" si="8"/>
        <v>0</v>
      </c>
      <c r="Y7" s="373">
        <f>+N7/2*'1º SAC (2)'!E7/181</f>
        <v>10169.812154696132</v>
      </c>
      <c r="Z7" s="374">
        <f t="shared" si="9"/>
        <v>10169.812154696132</v>
      </c>
      <c r="AA7" s="374">
        <f t="shared" si="10"/>
        <v>0</v>
      </c>
    </row>
    <row r="8" spans="1:27" s="74" customFormat="1" ht="14.25" customHeight="1" x14ac:dyDescent="0.2">
      <c r="A8" s="132">
        <f t="shared" si="1"/>
        <v>4</v>
      </c>
      <c r="B8" s="54">
        <v>20426095034</v>
      </c>
      <c r="C8" s="55" t="s">
        <v>150</v>
      </c>
      <c r="D8" s="47">
        <v>44710</v>
      </c>
      <c r="E8" s="136">
        <f t="shared" si="0"/>
        <v>32</v>
      </c>
      <c r="F8" s="263"/>
      <c r="G8" s="263"/>
      <c r="H8" s="263"/>
      <c r="I8" s="263"/>
      <c r="J8" s="371">
        <v>4959.0749999999998</v>
      </c>
      <c r="K8" s="271">
        <v>66800.23</v>
      </c>
      <c r="L8" s="271">
        <v>8521.5499999999993</v>
      </c>
      <c r="M8" s="371">
        <f t="shared" si="2"/>
        <v>75321.78</v>
      </c>
      <c r="N8" s="199">
        <f t="shared" si="3"/>
        <v>75321.78</v>
      </c>
      <c r="O8" s="200">
        <f>+K8/2/181*E8</f>
        <v>5904.9927071823204</v>
      </c>
      <c r="P8" s="200">
        <f t="shared" si="5"/>
        <v>753.28618784530386</v>
      </c>
      <c r="Q8" s="375">
        <f t="shared" ref="Q8:Q12" si="11">+O8*20.5/100</f>
        <v>1210.5235049723756</v>
      </c>
      <c r="R8" s="137">
        <f t="shared" si="6"/>
        <v>5448</v>
      </c>
      <c r="S8" s="73" t="s">
        <v>97</v>
      </c>
      <c r="T8" s="74">
        <f>+O8*0.03/65*100</f>
        <v>272.53812494687628</v>
      </c>
      <c r="U8" s="382">
        <v>5730.232486187846</v>
      </c>
      <c r="V8" s="382">
        <v>753.28618784530386</v>
      </c>
      <c r="W8" s="384">
        <f t="shared" si="7"/>
        <v>174.76022099447437</v>
      </c>
      <c r="X8" s="384">
        <f t="shared" si="8"/>
        <v>0</v>
      </c>
      <c r="Y8" s="373">
        <f>+N8/2*'1º SAC (2)'!E8/181</f>
        <v>6658.2788950276245</v>
      </c>
      <c r="Z8" s="374">
        <f t="shared" si="9"/>
        <v>6658.2788950276245</v>
      </c>
      <c r="AA8" s="374">
        <f t="shared" si="10"/>
        <v>0</v>
      </c>
    </row>
    <row r="9" spans="1:27" s="51" customFormat="1" ht="14.25" customHeight="1" x14ac:dyDescent="0.2">
      <c r="A9" s="132">
        <f t="shared" si="1"/>
        <v>5</v>
      </c>
      <c r="B9" s="201">
        <v>20355584098</v>
      </c>
      <c r="C9" s="55" t="s">
        <v>151</v>
      </c>
      <c r="D9" s="203">
        <v>44710</v>
      </c>
      <c r="E9" s="136">
        <f t="shared" si="0"/>
        <v>32</v>
      </c>
      <c r="F9" s="263"/>
      <c r="G9" s="263"/>
      <c r="H9" s="263"/>
      <c r="I9" s="263"/>
      <c r="J9" s="372">
        <v>4959.0749999999998</v>
      </c>
      <c r="K9" s="272">
        <v>66800.23</v>
      </c>
      <c r="L9" s="272">
        <v>8521.5499999999993</v>
      </c>
      <c r="M9" s="371">
        <f t="shared" si="2"/>
        <v>75321.78</v>
      </c>
      <c r="N9" s="199">
        <f t="shared" si="3"/>
        <v>75321.78</v>
      </c>
      <c r="O9" s="200">
        <f t="shared" si="4"/>
        <v>5904.9927071823204</v>
      </c>
      <c r="P9" s="200">
        <f t="shared" si="5"/>
        <v>753.28618784530386</v>
      </c>
      <c r="Q9" s="375">
        <f t="shared" si="11"/>
        <v>1210.5235049723756</v>
      </c>
      <c r="R9" s="137">
        <f t="shared" si="6"/>
        <v>5448</v>
      </c>
      <c r="S9" s="196" t="s">
        <v>97</v>
      </c>
      <c r="U9" s="293">
        <v>5730.232486187846</v>
      </c>
      <c r="V9" s="293">
        <v>753.28618784530386</v>
      </c>
      <c r="W9" s="384">
        <f t="shared" si="7"/>
        <v>174.76022099447437</v>
      </c>
      <c r="X9" s="384">
        <f t="shared" si="8"/>
        <v>0</v>
      </c>
      <c r="Y9" s="373">
        <f>+N9/2*'1º SAC (2)'!E9/181</f>
        <v>6658.2788950276245</v>
      </c>
      <c r="Z9" s="374">
        <f t="shared" si="9"/>
        <v>6658.2788950276245</v>
      </c>
      <c r="AA9" s="374">
        <f t="shared" si="10"/>
        <v>0</v>
      </c>
    </row>
    <row r="10" spans="1:27" s="51" customFormat="1" ht="14.25" customHeight="1" x14ac:dyDescent="0.2">
      <c r="A10" s="132">
        <f t="shared" si="1"/>
        <v>6</v>
      </c>
      <c r="B10" s="201">
        <v>20403601013</v>
      </c>
      <c r="C10" s="55" t="s">
        <v>152</v>
      </c>
      <c r="D10" s="208">
        <v>44710</v>
      </c>
      <c r="E10" s="136">
        <f t="shared" si="0"/>
        <v>32</v>
      </c>
      <c r="F10" s="263"/>
      <c r="G10" s="263"/>
      <c r="H10" s="263"/>
      <c r="I10" s="263"/>
      <c r="J10" s="372">
        <v>4515.7749999999996</v>
      </c>
      <c r="K10" s="272">
        <v>60993</v>
      </c>
      <c r="L10" s="272">
        <v>7729</v>
      </c>
      <c r="M10" s="371">
        <f t="shared" si="2"/>
        <v>68722</v>
      </c>
      <c r="N10" s="199">
        <f t="shared" si="3"/>
        <v>68722</v>
      </c>
      <c r="O10" s="200">
        <f t="shared" si="4"/>
        <v>5391.6464088397788</v>
      </c>
      <c r="P10" s="200">
        <f t="shared" si="5"/>
        <v>683.22651933701661</v>
      </c>
      <c r="Q10" s="375">
        <f t="shared" si="11"/>
        <v>1105.2875138121547</v>
      </c>
      <c r="R10" s="137">
        <f t="shared" si="6"/>
        <v>4970</v>
      </c>
      <c r="S10" s="196" t="s">
        <v>97</v>
      </c>
      <c r="U10" s="293">
        <v>5216.8861878453044</v>
      </c>
      <c r="V10" s="293">
        <v>683.22651933701661</v>
      </c>
      <c r="W10" s="384">
        <f t="shared" si="7"/>
        <v>174.76022099447437</v>
      </c>
      <c r="X10" s="384">
        <f t="shared" si="8"/>
        <v>0</v>
      </c>
      <c r="Y10" s="373">
        <f>+N10/2*'1º SAC (2)'!E10/181</f>
        <v>6074.8729281767955</v>
      </c>
      <c r="Z10" s="374">
        <f t="shared" si="9"/>
        <v>6074.8729281767955</v>
      </c>
      <c r="AA10" s="374">
        <f t="shared" si="10"/>
        <v>0</v>
      </c>
    </row>
    <row r="11" spans="1:27" s="51" customFormat="1" ht="14.25" customHeight="1" x14ac:dyDescent="0.2">
      <c r="A11" s="132">
        <f t="shared" si="1"/>
        <v>7</v>
      </c>
      <c r="B11" s="201">
        <v>20351621738</v>
      </c>
      <c r="C11" s="55" t="s">
        <v>153</v>
      </c>
      <c r="D11" s="208">
        <v>44710</v>
      </c>
      <c r="E11" s="136">
        <f t="shared" si="0"/>
        <v>32</v>
      </c>
      <c r="F11" s="263"/>
      <c r="G11" s="263"/>
      <c r="H11" s="263"/>
      <c r="I11" s="263"/>
      <c r="J11" s="372">
        <v>4515.7749999999996</v>
      </c>
      <c r="K11" s="272">
        <v>60993</v>
      </c>
      <c r="L11" s="272">
        <v>7729</v>
      </c>
      <c r="M11" s="371">
        <f t="shared" si="2"/>
        <v>68722</v>
      </c>
      <c r="N11" s="199">
        <f t="shared" si="3"/>
        <v>68722</v>
      </c>
      <c r="O11" s="200">
        <f t="shared" si="4"/>
        <v>5391.6464088397788</v>
      </c>
      <c r="P11" s="200">
        <f t="shared" si="5"/>
        <v>683.22651933701661</v>
      </c>
      <c r="Q11" s="375">
        <f t="shared" si="11"/>
        <v>1105.2875138121547</v>
      </c>
      <c r="R11" s="137">
        <f t="shared" si="6"/>
        <v>4970</v>
      </c>
      <c r="S11" s="196" t="s">
        <v>97</v>
      </c>
      <c r="U11" s="293">
        <v>5216.8861878453044</v>
      </c>
      <c r="V11" s="293">
        <v>683.22651933701661</v>
      </c>
      <c r="W11" s="384">
        <f t="shared" si="7"/>
        <v>174.76022099447437</v>
      </c>
      <c r="X11" s="384">
        <f t="shared" si="8"/>
        <v>0</v>
      </c>
      <c r="Y11" s="373">
        <f>+N11/2*'1º SAC (2)'!E11/181</f>
        <v>6074.8729281767955</v>
      </c>
      <c r="Z11" s="374">
        <f t="shared" si="9"/>
        <v>6074.8729281767955</v>
      </c>
      <c r="AA11" s="374">
        <f t="shared" si="10"/>
        <v>0</v>
      </c>
    </row>
    <row r="12" spans="1:27" s="51" customFormat="1" ht="14.25" customHeight="1" x14ac:dyDescent="0.2">
      <c r="A12" s="132">
        <f t="shared" si="1"/>
        <v>8</v>
      </c>
      <c r="B12" s="201">
        <v>20428710399</v>
      </c>
      <c r="C12" s="55" t="s">
        <v>154</v>
      </c>
      <c r="D12" s="208">
        <v>44710</v>
      </c>
      <c r="E12" s="136">
        <f t="shared" si="0"/>
        <v>32</v>
      </c>
      <c r="F12" s="263"/>
      <c r="G12" s="263"/>
      <c r="H12" s="263"/>
      <c r="I12" s="263"/>
      <c r="J12" s="372">
        <v>4959.0749999999998</v>
      </c>
      <c r="K12" s="272">
        <v>66800.23</v>
      </c>
      <c r="L12" s="272">
        <v>8521.5499999999993</v>
      </c>
      <c r="M12" s="371">
        <f t="shared" si="2"/>
        <v>75321.78</v>
      </c>
      <c r="N12" s="199">
        <f t="shared" si="3"/>
        <v>75321.78</v>
      </c>
      <c r="O12" s="200">
        <f t="shared" si="4"/>
        <v>5904.9927071823204</v>
      </c>
      <c r="P12" s="200">
        <f t="shared" si="5"/>
        <v>753.28618784530386</v>
      </c>
      <c r="Q12" s="375">
        <f t="shared" si="11"/>
        <v>1210.5235049723756</v>
      </c>
      <c r="R12" s="137">
        <f t="shared" si="6"/>
        <v>5448</v>
      </c>
      <c r="S12" s="196" t="s">
        <v>97</v>
      </c>
      <c r="U12" s="293">
        <v>5730.232486187846</v>
      </c>
      <c r="V12" s="293">
        <v>753.28618784530386</v>
      </c>
      <c r="W12" s="384">
        <f t="shared" si="7"/>
        <v>174.76022099447437</v>
      </c>
      <c r="X12" s="384">
        <f t="shared" si="8"/>
        <v>0</v>
      </c>
      <c r="Y12" s="373">
        <f>+N12/2*'1º SAC (2)'!E12/181</f>
        <v>6658.2788950276245</v>
      </c>
      <c r="Z12" s="374">
        <f t="shared" si="9"/>
        <v>6658.2788950276245</v>
      </c>
      <c r="AA12" s="374">
        <f t="shared" si="10"/>
        <v>0</v>
      </c>
    </row>
    <row r="13" spans="1:27" s="51" customFormat="1" ht="14.25" customHeight="1" x14ac:dyDescent="0.2">
      <c r="A13" s="132">
        <f t="shared" si="1"/>
        <v>9</v>
      </c>
      <c r="B13" s="201">
        <v>23290473969</v>
      </c>
      <c r="C13" s="55" t="s">
        <v>155</v>
      </c>
      <c r="D13" s="208">
        <v>44710</v>
      </c>
      <c r="E13" s="136">
        <f t="shared" si="0"/>
        <v>32</v>
      </c>
      <c r="F13" s="263"/>
      <c r="G13" s="263"/>
      <c r="H13" s="263"/>
      <c r="I13" s="263"/>
      <c r="J13" s="372">
        <v>9125.34</v>
      </c>
      <c r="K13" s="272">
        <v>119551.95499999999</v>
      </c>
      <c r="L13" s="272">
        <v>15398.85</v>
      </c>
      <c r="M13" s="371">
        <f t="shared" si="2"/>
        <v>134950.80499999999</v>
      </c>
      <c r="N13" s="199">
        <f t="shared" si="3"/>
        <v>134950.80499999999</v>
      </c>
      <c r="O13" s="200">
        <f t="shared" si="4"/>
        <v>10568.128618784529</v>
      </c>
      <c r="P13" s="200">
        <f t="shared" si="5"/>
        <v>1361.2243093922652</v>
      </c>
      <c r="Q13" s="375">
        <f>+O13*20.5/100</f>
        <v>2166.4663668508283</v>
      </c>
      <c r="R13" s="137">
        <f t="shared" si="6"/>
        <v>9763</v>
      </c>
      <c r="S13" s="196" t="s">
        <v>97</v>
      </c>
      <c r="U13" s="293">
        <v>10079.690607734807</v>
      </c>
      <c r="V13" s="293">
        <v>1331.2707182320441</v>
      </c>
      <c r="W13" s="384">
        <f t="shared" si="7"/>
        <v>488.43801104972226</v>
      </c>
      <c r="X13" s="384">
        <f t="shared" si="8"/>
        <v>29.953591160221094</v>
      </c>
      <c r="Y13" s="373">
        <f>+N13/2*'1º SAC (2)'!E13/181</f>
        <v>11929.352928176795</v>
      </c>
      <c r="Z13" s="374">
        <f t="shared" si="9"/>
        <v>11929.352928176795</v>
      </c>
      <c r="AA13" s="374">
        <f t="shared" si="10"/>
        <v>0</v>
      </c>
    </row>
    <row r="14" spans="1:27" s="51" customFormat="1" ht="14.25" customHeight="1" x14ac:dyDescent="0.2">
      <c r="A14" s="132">
        <f t="shared" si="1"/>
        <v>10</v>
      </c>
      <c r="B14" s="201">
        <v>20304523825</v>
      </c>
      <c r="C14" s="55" t="s">
        <v>156</v>
      </c>
      <c r="D14" s="208">
        <v>44710</v>
      </c>
      <c r="E14" s="136">
        <f t="shared" si="0"/>
        <v>32</v>
      </c>
      <c r="F14" s="263"/>
      <c r="G14" s="263"/>
      <c r="H14" s="263"/>
      <c r="I14" s="263"/>
      <c r="J14" s="372">
        <v>4959.0749999999998</v>
      </c>
      <c r="K14" s="272">
        <v>66800.23</v>
      </c>
      <c r="L14" s="272">
        <v>8521.5499999999993</v>
      </c>
      <c r="M14" s="371">
        <f t="shared" si="2"/>
        <v>75321.78</v>
      </c>
      <c r="N14" s="199">
        <f t="shared" si="3"/>
        <v>75321.78</v>
      </c>
      <c r="O14" s="200">
        <f t="shared" si="4"/>
        <v>5904.9927071823204</v>
      </c>
      <c r="P14" s="200">
        <f t="shared" si="5"/>
        <v>753.28618784530386</v>
      </c>
      <c r="Q14" s="375">
        <f t="shared" ref="Q14:Q25" si="12">+O14*20.5/100</f>
        <v>1210.5235049723756</v>
      </c>
      <c r="R14" s="137">
        <f t="shared" si="6"/>
        <v>5448</v>
      </c>
      <c r="S14" s="196" t="s">
        <v>97</v>
      </c>
      <c r="U14" s="293">
        <v>5730.232486187846</v>
      </c>
      <c r="V14" s="293">
        <v>753.28618784530386</v>
      </c>
      <c r="W14" s="384">
        <f t="shared" si="7"/>
        <v>174.76022099447437</v>
      </c>
      <c r="X14" s="384">
        <f t="shared" si="8"/>
        <v>0</v>
      </c>
      <c r="Y14" s="373">
        <f>+N14/2*'1º SAC (2)'!E14/181</f>
        <v>6658.2788950276245</v>
      </c>
      <c r="Z14" s="374">
        <f t="shared" si="9"/>
        <v>6658.2788950276245</v>
      </c>
      <c r="AA14" s="374">
        <f t="shared" si="10"/>
        <v>0</v>
      </c>
    </row>
    <row r="15" spans="1:27" s="51" customFormat="1" ht="14.25" customHeight="1" x14ac:dyDescent="0.2">
      <c r="A15" s="132">
        <f t="shared" si="1"/>
        <v>11</v>
      </c>
      <c r="B15" s="201">
        <v>20322222719</v>
      </c>
      <c r="C15" s="55" t="s">
        <v>157</v>
      </c>
      <c r="D15" s="208">
        <v>44710</v>
      </c>
      <c r="E15" s="136">
        <f t="shared" si="0"/>
        <v>32</v>
      </c>
      <c r="F15" s="263"/>
      <c r="G15" s="263"/>
      <c r="H15" s="263"/>
      <c r="I15" s="263"/>
      <c r="J15" s="372">
        <v>4732.0749999999998</v>
      </c>
      <c r="K15" s="272">
        <v>63826.53</v>
      </c>
      <c r="L15" s="272">
        <v>8115.4500000000007</v>
      </c>
      <c r="M15" s="371">
        <f t="shared" si="2"/>
        <v>71941.98</v>
      </c>
      <c r="N15" s="199">
        <f t="shared" si="3"/>
        <v>71941.98</v>
      </c>
      <c r="O15" s="200">
        <f t="shared" si="4"/>
        <v>5642.1241988950278</v>
      </c>
      <c r="P15" s="200">
        <f t="shared" si="5"/>
        <v>717.38784530386749</v>
      </c>
      <c r="Q15" s="375">
        <f t="shared" si="12"/>
        <v>1156.6354607734806</v>
      </c>
      <c r="R15" s="137">
        <f t="shared" si="6"/>
        <v>5203</v>
      </c>
      <c r="S15" s="196" t="s">
        <v>97</v>
      </c>
      <c r="U15" s="293">
        <v>5467.3639779005516</v>
      </c>
      <c r="V15" s="293">
        <v>717.38784530386749</v>
      </c>
      <c r="W15" s="384">
        <f t="shared" si="7"/>
        <v>174.76022099447619</v>
      </c>
      <c r="X15" s="384">
        <f t="shared" si="8"/>
        <v>0</v>
      </c>
      <c r="Y15" s="373">
        <f>+N15/2*'1º SAC (2)'!E15/181</f>
        <v>6359.5120441988947</v>
      </c>
      <c r="Z15" s="374">
        <f t="shared" si="9"/>
        <v>6359.5120441988956</v>
      </c>
      <c r="AA15" s="374">
        <f t="shared" si="10"/>
        <v>0</v>
      </c>
    </row>
    <row r="16" spans="1:27" s="51" customFormat="1" ht="14.25" customHeight="1" x14ac:dyDescent="0.2">
      <c r="A16" s="132">
        <f t="shared" si="1"/>
        <v>12</v>
      </c>
      <c r="B16" s="201">
        <v>20425599829</v>
      </c>
      <c r="C16" s="55" t="s">
        <v>158</v>
      </c>
      <c r="D16" s="208">
        <v>44710</v>
      </c>
      <c r="E16" s="136">
        <f t="shared" si="0"/>
        <v>32</v>
      </c>
      <c r="F16" s="263"/>
      <c r="G16" s="263"/>
      <c r="H16" s="263"/>
      <c r="I16" s="263"/>
      <c r="J16" s="372">
        <v>4959.0749999999998</v>
      </c>
      <c r="K16" s="272">
        <v>66800.23</v>
      </c>
      <c r="L16" s="272">
        <v>8521.5499999999993</v>
      </c>
      <c r="M16" s="371">
        <f t="shared" si="2"/>
        <v>75321.78</v>
      </c>
      <c r="N16" s="199">
        <f t="shared" si="3"/>
        <v>75321.78</v>
      </c>
      <c r="O16" s="200">
        <f t="shared" si="4"/>
        <v>5904.9927071823204</v>
      </c>
      <c r="P16" s="200">
        <f t="shared" si="5"/>
        <v>753.28618784530386</v>
      </c>
      <c r="Q16" s="375">
        <f t="shared" si="12"/>
        <v>1210.5235049723756</v>
      </c>
      <c r="R16" s="137">
        <f t="shared" si="6"/>
        <v>5448</v>
      </c>
      <c r="S16" s="196" t="s">
        <v>97</v>
      </c>
      <c r="U16" s="293">
        <v>5730.232486187846</v>
      </c>
      <c r="V16" s="293">
        <v>753.28618784530386</v>
      </c>
      <c r="W16" s="384">
        <f t="shared" si="7"/>
        <v>174.76022099447437</v>
      </c>
      <c r="X16" s="384">
        <f t="shared" si="8"/>
        <v>0</v>
      </c>
      <c r="Y16" s="373">
        <f>+N16/2*'1º SAC (2)'!E16/181</f>
        <v>6658.2788950276245</v>
      </c>
      <c r="Z16" s="374">
        <f t="shared" si="9"/>
        <v>6658.2788950276245</v>
      </c>
      <c r="AA16" s="374">
        <f t="shared" si="10"/>
        <v>0</v>
      </c>
    </row>
    <row r="17" spans="1:27" s="51" customFormat="1" ht="14.25" customHeight="1" x14ac:dyDescent="0.2">
      <c r="A17" s="132">
        <f t="shared" si="1"/>
        <v>13</v>
      </c>
      <c r="B17" s="201">
        <v>20418603136</v>
      </c>
      <c r="C17" s="55" t="s">
        <v>159</v>
      </c>
      <c r="D17" s="208">
        <v>44710</v>
      </c>
      <c r="E17" s="136">
        <f t="shared" si="0"/>
        <v>32</v>
      </c>
      <c r="F17" s="263"/>
      <c r="G17" s="263"/>
      <c r="H17" s="263"/>
      <c r="I17" s="263"/>
      <c r="J17" s="372">
        <v>4959.0749999999998</v>
      </c>
      <c r="K17" s="272">
        <v>66800.23</v>
      </c>
      <c r="L17" s="272">
        <v>8521.5499999999993</v>
      </c>
      <c r="M17" s="371">
        <f t="shared" si="2"/>
        <v>75321.78</v>
      </c>
      <c r="N17" s="199">
        <f t="shared" si="3"/>
        <v>75321.78</v>
      </c>
      <c r="O17" s="200">
        <f t="shared" si="4"/>
        <v>5904.9927071823204</v>
      </c>
      <c r="P17" s="200">
        <f t="shared" si="5"/>
        <v>753.28618784530386</v>
      </c>
      <c r="Q17" s="375">
        <f t="shared" si="12"/>
        <v>1210.5235049723756</v>
      </c>
      <c r="R17" s="137">
        <f t="shared" si="6"/>
        <v>5448</v>
      </c>
      <c r="S17" s="196" t="s">
        <v>97</v>
      </c>
      <c r="U17" s="293">
        <v>5730.232486187846</v>
      </c>
      <c r="V17" s="293">
        <v>753.28618784530386</v>
      </c>
      <c r="W17" s="384">
        <f t="shared" si="7"/>
        <v>174.76022099447437</v>
      </c>
      <c r="X17" s="384">
        <f t="shared" si="8"/>
        <v>0</v>
      </c>
      <c r="Y17" s="373">
        <f>+N17/2*'1º SAC (2)'!E17/181</f>
        <v>6658.2788950276245</v>
      </c>
      <c r="Z17" s="374">
        <f t="shared" si="9"/>
        <v>6658.2788950276245</v>
      </c>
      <c r="AA17" s="374">
        <f t="shared" si="10"/>
        <v>0</v>
      </c>
    </row>
    <row r="18" spans="1:27" s="51" customFormat="1" ht="14.25" customHeight="1" x14ac:dyDescent="0.2">
      <c r="A18" s="132">
        <f t="shared" si="1"/>
        <v>14</v>
      </c>
      <c r="B18" s="201">
        <v>20320535248</v>
      </c>
      <c r="C18" s="55" t="s">
        <v>160</v>
      </c>
      <c r="D18" s="208">
        <v>44710</v>
      </c>
      <c r="E18" s="136">
        <f t="shared" si="0"/>
        <v>32</v>
      </c>
      <c r="F18" s="263"/>
      <c r="G18" s="263"/>
      <c r="H18" s="263"/>
      <c r="I18" s="263"/>
      <c r="J18" s="372">
        <v>7559.58</v>
      </c>
      <c r="K18" s="272">
        <v>97496</v>
      </c>
      <c r="L18" s="272">
        <v>12390</v>
      </c>
      <c r="M18" s="371">
        <f t="shared" si="2"/>
        <v>109886</v>
      </c>
      <c r="N18" s="199">
        <f t="shared" si="3"/>
        <v>109886</v>
      </c>
      <c r="O18" s="200">
        <f t="shared" si="4"/>
        <v>8618.4309392265186</v>
      </c>
      <c r="P18" s="200">
        <f t="shared" si="5"/>
        <v>1095.2486187845304</v>
      </c>
      <c r="Q18" s="375">
        <f t="shared" si="12"/>
        <v>1766.7783425414364</v>
      </c>
      <c r="R18" s="137">
        <f t="shared" si="6"/>
        <v>7947</v>
      </c>
      <c r="S18" s="196" t="s">
        <v>97</v>
      </c>
      <c r="U18" s="293">
        <v>8349.5690607734814</v>
      </c>
      <c r="V18" s="293">
        <v>1095.2486187845304</v>
      </c>
      <c r="W18" s="384">
        <f t="shared" si="7"/>
        <v>268.86187845303721</v>
      </c>
      <c r="X18" s="384">
        <f t="shared" si="8"/>
        <v>0</v>
      </c>
      <c r="Y18" s="373">
        <f>+N18/2*'1º SAC (2)'!E18/181</f>
        <v>9713.6795580110502</v>
      </c>
      <c r="Z18" s="374">
        <f t="shared" si="9"/>
        <v>9713.6795580110484</v>
      </c>
      <c r="AA18" s="374">
        <f t="shared" si="10"/>
        <v>0</v>
      </c>
    </row>
    <row r="19" spans="1:27" s="51" customFormat="1" ht="14.25" customHeight="1" x14ac:dyDescent="0.2">
      <c r="A19" s="132">
        <f t="shared" si="1"/>
        <v>15</v>
      </c>
      <c r="B19" s="201">
        <v>20403630382</v>
      </c>
      <c r="C19" s="55" t="s">
        <v>161</v>
      </c>
      <c r="D19" s="208">
        <v>44710</v>
      </c>
      <c r="E19" s="136">
        <f t="shared" si="0"/>
        <v>32</v>
      </c>
      <c r="F19" s="263"/>
      <c r="G19" s="263"/>
      <c r="H19" s="263"/>
      <c r="I19" s="263"/>
      <c r="J19" s="372">
        <v>4732.0749999999998</v>
      </c>
      <c r="K19" s="272">
        <v>63826.53</v>
      </c>
      <c r="L19" s="272">
        <v>8115.4500000000007</v>
      </c>
      <c r="M19" s="371">
        <f t="shared" si="2"/>
        <v>71941.98</v>
      </c>
      <c r="N19" s="199">
        <f t="shared" si="3"/>
        <v>71941.98</v>
      </c>
      <c r="O19" s="200">
        <f t="shared" si="4"/>
        <v>5642.1241988950278</v>
      </c>
      <c r="P19" s="200">
        <f t="shared" si="5"/>
        <v>717.38784530386749</v>
      </c>
      <c r="Q19" s="375">
        <f t="shared" si="12"/>
        <v>1156.6354607734806</v>
      </c>
      <c r="R19" s="137">
        <f t="shared" si="6"/>
        <v>5203</v>
      </c>
      <c r="S19" s="196" t="s">
        <v>97</v>
      </c>
      <c r="U19" s="293">
        <v>5467.3639779005516</v>
      </c>
      <c r="V19" s="293">
        <v>717.38784530386749</v>
      </c>
      <c r="W19" s="384">
        <f t="shared" si="7"/>
        <v>174.76022099447619</v>
      </c>
      <c r="X19" s="384">
        <f t="shared" si="8"/>
        <v>0</v>
      </c>
      <c r="Y19" s="373">
        <f>+N19/2*'1º SAC (2)'!E19/181</f>
        <v>6359.5120441988947</v>
      </c>
      <c r="Z19" s="374">
        <f t="shared" si="9"/>
        <v>6359.5120441988956</v>
      </c>
      <c r="AA19" s="374">
        <f t="shared" si="10"/>
        <v>0</v>
      </c>
    </row>
    <row r="20" spans="1:27" s="51" customFormat="1" ht="14.25" customHeight="1" x14ac:dyDescent="0.2">
      <c r="A20" s="132">
        <f t="shared" si="1"/>
        <v>16</v>
      </c>
      <c r="B20" s="201">
        <v>20410868874</v>
      </c>
      <c r="C20" s="55" t="s">
        <v>162</v>
      </c>
      <c r="D20" s="208">
        <v>44710</v>
      </c>
      <c r="E20" s="136">
        <f t="shared" si="0"/>
        <v>32</v>
      </c>
      <c r="F20" s="263"/>
      <c r="G20" s="263"/>
      <c r="H20" s="263"/>
      <c r="I20" s="263"/>
      <c r="J20" s="372">
        <v>4732.0749999999998</v>
      </c>
      <c r="K20" s="272">
        <v>63826.53</v>
      </c>
      <c r="L20" s="272">
        <v>8115.4500000000007</v>
      </c>
      <c r="M20" s="371">
        <f t="shared" si="2"/>
        <v>71941.98</v>
      </c>
      <c r="N20" s="199">
        <f t="shared" si="3"/>
        <v>71941.98</v>
      </c>
      <c r="O20" s="200">
        <f t="shared" si="4"/>
        <v>5642.1241988950278</v>
      </c>
      <c r="P20" s="200">
        <f t="shared" si="5"/>
        <v>717.38784530386749</v>
      </c>
      <c r="Q20" s="375">
        <f t="shared" si="12"/>
        <v>1156.6354607734806</v>
      </c>
      <c r="R20" s="137">
        <f t="shared" si="6"/>
        <v>5203</v>
      </c>
      <c r="S20" s="196" t="s">
        <v>97</v>
      </c>
      <c r="U20" s="293">
        <v>5467.3639779005516</v>
      </c>
      <c r="V20" s="293">
        <v>717.38784530386749</v>
      </c>
      <c r="W20" s="384">
        <f t="shared" si="7"/>
        <v>174.76022099447619</v>
      </c>
      <c r="X20" s="384">
        <f t="shared" si="8"/>
        <v>0</v>
      </c>
      <c r="Y20" s="373">
        <f>+N20/2*'1º SAC (2)'!E20/181</f>
        <v>6359.5120441988947</v>
      </c>
      <c r="Z20" s="374">
        <f t="shared" si="9"/>
        <v>6359.5120441988956</v>
      </c>
      <c r="AA20" s="374">
        <f t="shared" si="10"/>
        <v>0</v>
      </c>
    </row>
    <row r="21" spans="1:27" s="51" customFormat="1" ht="14.25" customHeight="1" x14ac:dyDescent="0.2">
      <c r="A21" s="132">
        <f t="shared" si="1"/>
        <v>17</v>
      </c>
      <c r="B21" s="201">
        <v>23401204679</v>
      </c>
      <c r="C21" s="55" t="s">
        <v>163</v>
      </c>
      <c r="D21" s="208">
        <v>44710</v>
      </c>
      <c r="E21" s="136">
        <f t="shared" si="0"/>
        <v>32</v>
      </c>
      <c r="F21" s="263"/>
      <c r="G21" s="263"/>
      <c r="H21" s="263"/>
      <c r="I21" s="263"/>
      <c r="J21" s="372">
        <v>4515.7749999999996</v>
      </c>
      <c r="K21" s="272">
        <v>60993</v>
      </c>
      <c r="L21" s="272">
        <v>7729</v>
      </c>
      <c r="M21" s="371">
        <f t="shared" si="2"/>
        <v>68722</v>
      </c>
      <c r="N21" s="199">
        <f t="shared" si="3"/>
        <v>68722</v>
      </c>
      <c r="O21" s="200">
        <f t="shared" si="4"/>
        <v>5391.6464088397788</v>
      </c>
      <c r="P21" s="200">
        <f t="shared" si="5"/>
        <v>683.22651933701661</v>
      </c>
      <c r="Q21" s="375">
        <f t="shared" si="12"/>
        <v>1105.2875138121547</v>
      </c>
      <c r="R21" s="137">
        <f t="shared" si="6"/>
        <v>4970</v>
      </c>
      <c r="S21" s="196" t="s">
        <v>97</v>
      </c>
      <c r="U21" s="293">
        <v>5216.8861878453044</v>
      </c>
      <c r="V21" s="293">
        <v>683.22651933701661</v>
      </c>
      <c r="W21" s="384">
        <f t="shared" si="7"/>
        <v>174.76022099447437</v>
      </c>
      <c r="X21" s="384">
        <f t="shared" si="8"/>
        <v>0</v>
      </c>
      <c r="Y21" s="373">
        <f>+N21/2*'1º SAC (2)'!E21/181</f>
        <v>6074.8729281767955</v>
      </c>
      <c r="Z21" s="374">
        <f t="shared" si="9"/>
        <v>6074.8729281767955</v>
      </c>
      <c r="AA21" s="374">
        <f t="shared" si="10"/>
        <v>0</v>
      </c>
    </row>
    <row r="22" spans="1:27" s="51" customFormat="1" ht="14.25" customHeight="1" x14ac:dyDescent="0.2">
      <c r="A22" s="132">
        <f t="shared" si="1"/>
        <v>18</v>
      </c>
      <c r="B22" s="201">
        <v>20438407325</v>
      </c>
      <c r="C22" s="55" t="s">
        <v>164</v>
      </c>
      <c r="D22" s="208">
        <v>44710</v>
      </c>
      <c r="E22" s="136">
        <f t="shared" si="0"/>
        <v>32</v>
      </c>
      <c r="F22" s="263"/>
      <c r="G22" s="263"/>
      <c r="H22" s="263"/>
      <c r="I22" s="263"/>
      <c r="J22" s="372">
        <v>4732.0749999999998</v>
      </c>
      <c r="K22" s="272">
        <v>63826.53</v>
      </c>
      <c r="L22" s="272">
        <v>8115.4500000000007</v>
      </c>
      <c r="M22" s="371">
        <f t="shared" si="2"/>
        <v>71941.98</v>
      </c>
      <c r="N22" s="199">
        <f t="shared" si="3"/>
        <v>71941.98</v>
      </c>
      <c r="O22" s="200">
        <f t="shared" si="4"/>
        <v>5642.1241988950278</v>
      </c>
      <c r="P22" s="200">
        <f t="shared" si="5"/>
        <v>717.38784530386749</v>
      </c>
      <c r="Q22" s="375">
        <f t="shared" si="12"/>
        <v>1156.6354607734806</v>
      </c>
      <c r="R22" s="137">
        <f t="shared" si="6"/>
        <v>5203</v>
      </c>
      <c r="S22" s="196" t="s">
        <v>97</v>
      </c>
      <c r="U22" s="293">
        <v>5467.3639779005516</v>
      </c>
      <c r="V22" s="293">
        <v>717.38784530386749</v>
      </c>
      <c r="W22" s="384">
        <f t="shared" si="7"/>
        <v>174.76022099447619</v>
      </c>
      <c r="X22" s="384">
        <f t="shared" si="8"/>
        <v>0</v>
      </c>
      <c r="Y22" s="373">
        <f>+N22/2*'1º SAC (2)'!E22/181</f>
        <v>6359.5120441988947</v>
      </c>
      <c r="Z22" s="374">
        <f t="shared" si="9"/>
        <v>6359.5120441988956</v>
      </c>
      <c r="AA22" s="374">
        <f t="shared" si="10"/>
        <v>0</v>
      </c>
    </row>
    <row r="23" spans="1:27" s="51" customFormat="1" ht="14.25" customHeight="1" x14ac:dyDescent="0.2">
      <c r="A23" s="132">
        <f t="shared" si="1"/>
        <v>19</v>
      </c>
      <c r="B23" s="201">
        <v>23429243939</v>
      </c>
      <c r="C23" s="55" t="s">
        <v>166</v>
      </c>
      <c r="D23" s="208">
        <v>44710</v>
      </c>
      <c r="E23" s="136">
        <f t="shared" si="0"/>
        <v>32</v>
      </c>
      <c r="F23" s="263"/>
      <c r="G23" s="263"/>
      <c r="H23" s="263"/>
      <c r="I23" s="263"/>
      <c r="J23" s="372">
        <v>4515.7749999999996</v>
      </c>
      <c r="K23" s="272">
        <v>60993</v>
      </c>
      <c r="L23" s="272">
        <v>7729</v>
      </c>
      <c r="M23" s="371">
        <f t="shared" si="2"/>
        <v>68722</v>
      </c>
      <c r="N23" s="199">
        <f t="shared" si="3"/>
        <v>68722</v>
      </c>
      <c r="O23" s="200">
        <f t="shared" si="4"/>
        <v>5391.6464088397788</v>
      </c>
      <c r="P23" s="200">
        <f t="shared" si="5"/>
        <v>683.22651933701661</v>
      </c>
      <c r="Q23" s="375">
        <f t="shared" si="12"/>
        <v>1105.2875138121547</v>
      </c>
      <c r="R23" s="137">
        <f t="shared" si="6"/>
        <v>4970</v>
      </c>
      <c r="S23" s="196" t="s">
        <v>97</v>
      </c>
      <c r="U23" s="293">
        <v>5216.8861878453044</v>
      </c>
      <c r="V23" s="293">
        <v>683.22651933701661</v>
      </c>
      <c r="W23" s="384">
        <f t="shared" si="7"/>
        <v>174.76022099447437</v>
      </c>
      <c r="X23" s="384">
        <f t="shared" si="8"/>
        <v>0</v>
      </c>
      <c r="Y23" s="373">
        <f>+N23/2*'1º SAC (2)'!E23/181</f>
        <v>6074.8729281767955</v>
      </c>
      <c r="Z23" s="374">
        <f t="shared" si="9"/>
        <v>6074.8729281767955</v>
      </c>
      <c r="AA23" s="374">
        <f t="shared" si="10"/>
        <v>0</v>
      </c>
    </row>
    <row r="24" spans="1:27" s="51" customFormat="1" ht="14.25" customHeight="1" x14ac:dyDescent="0.2">
      <c r="A24" s="132">
        <f t="shared" si="1"/>
        <v>20</v>
      </c>
      <c r="B24" s="201">
        <v>20372389584</v>
      </c>
      <c r="C24" s="55" t="s">
        <v>167</v>
      </c>
      <c r="D24" s="208">
        <v>44710</v>
      </c>
      <c r="E24" s="136">
        <f t="shared" si="0"/>
        <v>32</v>
      </c>
      <c r="F24" s="263"/>
      <c r="G24" s="263"/>
      <c r="H24" s="263"/>
      <c r="I24" s="263"/>
      <c r="J24" s="372">
        <v>8168.951543209876</v>
      </c>
      <c r="K24" s="272">
        <v>73652.291495457714</v>
      </c>
      <c r="L24" s="272">
        <v>8521.5499999999993</v>
      </c>
      <c r="M24" s="371">
        <f t="shared" si="2"/>
        <v>82173.841495457717</v>
      </c>
      <c r="N24" s="199">
        <f t="shared" si="3"/>
        <v>82173.841495457717</v>
      </c>
      <c r="O24" s="200">
        <f t="shared" si="4"/>
        <v>6510.6998007034445</v>
      </c>
      <c r="P24" s="200">
        <f t="shared" si="5"/>
        <v>753.28618784530386</v>
      </c>
      <c r="Q24" s="375">
        <f t="shared" si="12"/>
        <v>1334.6934591442061</v>
      </c>
      <c r="R24" s="137">
        <f t="shared" si="6"/>
        <v>5930</v>
      </c>
      <c r="S24" s="196" t="s">
        <v>97</v>
      </c>
      <c r="U24" s="293">
        <v>6291.9589508296303</v>
      </c>
      <c r="V24" s="293">
        <v>753.28618784530386</v>
      </c>
      <c r="W24" s="384">
        <f t="shared" si="7"/>
        <v>218.74084987381411</v>
      </c>
      <c r="X24" s="384">
        <f t="shared" si="8"/>
        <v>0</v>
      </c>
      <c r="Y24" s="373">
        <f>+N24/2*'1º SAC (2)'!E24/181</f>
        <v>7263.9859885487485</v>
      </c>
      <c r="Z24" s="374">
        <f t="shared" si="9"/>
        <v>7263.9859885487485</v>
      </c>
      <c r="AA24" s="374">
        <f t="shared" si="10"/>
        <v>0</v>
      </c>
    </row>
    <row r="25" spans="1:27" s="51" customFormat="1" ht="14.25" customHeight="1" x14ac:dyDescent="0.2">
      <c r="A25" s="132">
        <f t="shared" si="1"/>
        <v>21</v>
      </c>
      <c r="B25" s="201">
        <v>20413593442</v>
      </c>
      <c r="C25" s="55" t="s">
        <v>165</v>
      </c>
      <c r="D25" s="208">
        <v>44710</v>
      </c>
      <c r="E25" s="136">
        <f t="shared" si="0"/>
        <v>32</v>
      </c>
      <c r="F25" s="263"/>
      <c r="G25" s="263"/>
      <c r="H25" s="263"/>
      <c r="I25" s="263"/>
      <c r="J25" s="372">
        <v>4515.7749999999996</v>
      </c>
      <c r="K25" s="272">
        <v>60993</v>
      </c>
      <c r="L25" s="272">
        <v>7729</v>
      </c>
      <c r="M25" s="371">
        <f t="shared" si="2"/>
        <v>68722</v>
      </c>
      <c r="N25" s="199">
        <f t="shared" si="3"/>
        <v>68722</v>
      </c>
      <c r="O25" s="200">
        <f t="shared" si="4"/>
        <v>5391.6464088397788</v>
      </c>
      <c r="P25" s="200">
        <f t="shared" si="5"/>
        <v>683.22651933701661</v>
      </c>
      <c r="Q25" s="375">
        <f t="shared" si="12"/>
        <v>1105.2875138121547</v>
      </c>
      <c r="R25" s="137">
        <f t="shared" si="6"/>
        <v>4970</v>
      </c>
      <c r="S25" s="196" t="s">
        <v>97</v>
      </c>
      <c r="U25" s="293">
        <v>5216.8861878453044</v>
      </c>
      <c r="V25" s="293">
        <v>683.22651933701661</v>
      </c>
      <c r="W25" s="384">
        <f t="shared" si="7"/>
        <v>174.76022099447437</v>
      </c>
      <c r="X25" s="384">
        <f t="shared" si="8"/>
        <v>0</v>
      </c>
      <c r="Y25" s="373">
        <f>+N25/2*'1º SAC (2)'!E25/181</f>
        <v>6074.8729281767955</v>
      </c>
      <c r="Z25" s="374">
        <f t="shared" si="9"/>
        <v>6074.8729281767955</v>
      </c>
      <c r="AA25" s="374">
        <f t="shared" si="10"/>
        <v>0</v>
      </c>
    </row>
    <row r="26" spans="1:27" s="75" customFormat="1" ht="19.5" customHeight="1" x14ac:dyDescent="0.2">
      <c r="A26" s="538" t="s">
        <v>48</v>
      </c>
      <c r="B26" s="539"/>
      <c r="C26" s="539"/>
      <c r="D26" s="539"/>
      <c r="E26" s="540"/>
      <c r="F26" s="194">
        <f>SUM(F5:F10)</f>
        <v>0</v>
      </c>
      <c r="G26" s="194">
        <f t="shared" ref="G26:I26" si="13">SUM(G5:G10)</f>
        <v>0</v>
      </c>
      <c r="H26" s="194">
        <f t="shared" si="13"/>
        <v>0</v>
      </c>
      <c r="I26" s="194">
        <f t="shared" si="13"/>
        <v>0</v>
      </c>
      <c r="J26" s="194">
        <f t="shared" ref="J26:M26" si="14">SUM(J5:J25)</f>
        <v>149321.27654320982</v>
      </c>
      <c r="K26" s="194">
        <f t="shared" si="14"/>
        <v>1762622.5364954576</v>
      </c>
      <c r="L26" s="194">
        <f t="shared" si="14"/>
        <v>195156.50000000006</v>
      </c>
      <c r="M26" s="194">
        <f t="shared" si="14"/>
        <v>1957779.0364954579</v>
      </c>
      <c r="N26" s="194">
        <f>SUM(N5:N25)</f>
        <v>1957779.0364954579</v>
      </c>
      <c r="O26" s="194">
        <f t="shared" ref="O26:R26" si="15">SUM(O5:O25)</f>
        <v>155811.9369277753</v>
      </c>
      <c r="P26" s="194">
        <f t="shared" si="15"/>
        <v>17251.403314917123</v>
      </c>
      <c r="Q26" s="194">
        <f t="shared" si="15"/>
        <v>31941.447070193924</v>
      </c>
      <c r="R26" s="194">
        <f t="shared" si="15"/>
        <v>141129</v>
      </c>
    </row>
    <row r="27" spans="1:27" ht="13.5" x14ac:dyDescent="0.25">
      <c r="A27" s="23"/>
      <c r="B27" s="23"/>
      <c r="C27" s="76"/>
      <c r="D27" s="24"/>
      <c r="E27" s="25"/>
      <c r="F27" s="2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</sheetData>
  <autoFilter ref="A4:AA26"/>
  <mergeCells count="3">
    <mergeCell ref="G1:H1"/>
    <mergeCell ref="K3:M3"/>
    <mergeCell ref="A26:E26"/>
  </mergeCells>
  <pageMargins left="0.70866141732283472" right="0.39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Y28"/>
  <sheetViews>
    <sheetView zoomScaleNormal="100" workbookViewId="0">
      <pane xSplit="3" topLeftCell="N1" activePane="topRight" state="frozen"/>
      <selection pane="topRight" activeCell="S32" sqref="S32"/>
    </sheetView>
  </sheetViews>
  <sheetFormatPr baseColWidth="10" defaultRowHeight="12.75" customHeight="1" x14ac:dyDescent="0.2"/>
  <cols>
    <col min="1" max="1" width="5.85546875" customWidth="1"/>
    <col min="2" max="2" width="14" customWidth="1"/>
    <col min="3" max="3" width="26.85546875" customWidth="1"/>
    <col min="4" max="4" width="10" customWidth="1"/>
    <col min="5" max="5" width="8.28515625" customWidth="1"/>
    <col min="6" max="11" width="10.5703125" customWidth="1"/>
    <col min="12" max="12" width="10.140625" customWidth="1"/>
    <col min="13" max="13" width="12.28515625" customWidth="1"/>
    <col min="14" max="14" width="12.140625" customWidth="1"/>
    <col min="15" max="16" width="10.5703125" customWidth="1"/>
    <col min="17" max="17" width="12.7109375" customWidth="1"/>
    <col min="18" max="19" width="9.85546875" customWidth="1"/>
    <col min="20" max="20" width="18.5703125" customWidth="1"/>
    <col min="21" max="21" width="10.5703125" customWidth="1"/>
    <col min="22" max="22" width="11.140625" customWidth="1"/>
  </cols>
  <sheetData>
    <row r="1" spans="1:25" ht="23.25" x14ac:dyDescent="0.35">
      <c r="A1" s="67" t="str">
        <f>+'NOMINA MES'!A1</f>
        <v>COOP AGRICOLA GANADERA AARON CASTELLANOS</v>
      </c>
      <c r="B1" s="68"/>
      <c r="C1" s="68"/>
      <c r="D1" s="68"/>
      <c r="E1" s="68"/>
      <c r="F1" s="23"/>
      <c r="G1" s="23"/>
      <c r="H1" s="23"/>
      <c r="I1" s="23"/>
      <c r="J1" s="23"/>
      <c r="K1" s="23"/>
      <c r="L1" s="537">
        <v>44926</v>
      </c>
      <c r="M1" s="537"/>
      <c r="N1" s="23"/>
      <c r="O1" s="23"/>
      <c r="P1" s="23"/>
      <c r="Q1" s="23"/>
      <c r="R1" s="23"/>
      <c r="S1" s="23"/>
      <c r="T1" s="23"/>
      <c r="U1" s="23"/>
      <c r="V1" s="31"/>
    </row>
    <row r="2" spans="1:25" ht="24" customHeight="1" x14ac:dyDescent="0.25">
      <c r="A2" s="133" t="s">
        <v>191</v>
      </c>
      <c r="B2" s="68"/>
      <c r="C2" s="68"/>
      <c r="D2" s="68"/>
      <c r="E2" s="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72">
        <v>44926</v>
      </c>
    </row>
    <row r="3" spans="1:25" ht="13.5" x14ac:dyDescent="0.25">
      <c r="A3" s="32"/>
      <c r="B3" s="32"/>
      <c r="C3" s="33"/>
      <c r="D3" s="34"/>
      <c r="E3" s="34"/>
      <c r="F3" s="541">
        <v>44743</v>
      </c>
      <c r="G3" s="542"/>
      <c r="H3" s="543"/>
      <c r="I3" s="541">
        <v>44774</v>
      </c>
      <c r="J3" s="542"/>
      <c r="K3" s="543"/>
      <c r="L3" s="23"/>
      <c r="M3" s="23"/>
      <c r="N3" s="23"/>
      <c r="O3" s="445"/>
      <c r="P3" s="23"/>
      <c r="Q3" s="23"/>
      <c r="R3" s="23"/>
      <c r="S3" s="23"/>
      <c r="T3" s="23"/>
      <c r="U3" s="31"/>
    </row>
    <row r="4" spans="1:25" s="57" customFormat="1" ht="38.25" x14ac:dyDescent="0.2">
      <c r="A4" s="69" t="str">
        <f>+'NOMINA MES'!A5</f>
        <v>Nº</v>
      </c>
      <c r="B4" s="69" t="s">
        <v>19</v>
      </c>
      <c r="C4" s="69" t="s">
        <v>20</v>
      </c>
      <c r="D4" s="70" t="s">
        <v>21</v>
      </c>
      <c r="E4" s="70" t="s">
        <v>22</v>
      </c>
      <c r="F4" s="368" t="s">
        <v>185</v>
      </c>
      <c r="G4" s="368" t="s">
        <v>186</v>
      </c>
      <c r="H4" s="368" t="s">
        <v>187</v>
      </c>
      <c r="I4" s="368" t="s">
        <v>185</v>
      </c>
      <c r="J4" s="368" t="s">
        <v>186</v>
      </c>
      <c r="K4" s="368" t="s">
        <v>187</v>
      </c>
      <c r="L4" s="79">
        <v>44805</v>
      </c>
      <c r="M4" s="79">
        <v>44835</v>
      </c>
      <c r="N4" s="79">
        <v>44866</v>
      </c>
      <c r="O4" s="79">
        <v>44896</v>
      </c>
      <c r="P4" s="131" t="s">
        <v>23</v>
      </c>
      <c r="Q4" s="138" t="s">
        <v>188</v>
      </c>
      <c r="R4" s="138" t="s">
        <v>189</v>
      </c>
      <c r="S4" s="71" t="s">
        <v>24</v>
      </c>
      <c r="T4" s="139" t="s">
        <v>91</v>
      </c>
      <c r="U4" s="134">
        <v>44743</v>
      </c>
    </row>
    <row r="5" spans="1:25" s="74" customFormat="1" ht="14.25" customHeight="1" x14ac:dyDescent="0.2">
      <c r="A5" s="132">
        <f>1</f>
        <v>1</v>
      </c>
      <c r="B5" s="54">
        <v>20267676527</v>
      </c>
      <c r="C5" s="265" t="s">
        <v>146</v>
      </c>
      <c r="D5" s="78">
        <v>44710</v>
      </c>
      <c r="E5" s="136">
        <f t="shared" ref="E5:E26" si="0">IF(D5&gt;$U$4,DATEDIF(D5,$V$2,"d"),184)</f>
        <v>184</v>
      </c>
      <c r="F5" s="271">
        <v>247991.97500000001</v>
      </c>
      <c r="G5" s="271">
        <v>11800</v>
      </c>
      <c r="H5" s="371">
        <f>SUM(F5:G5)</f>
        <v>259791.97500000001</v>
      </c>
      <c r="I5" s="271">
        <v>247991.97500000001</v>
      </c>
      <c r="J5" s="271">
        <v>11800</v>
      </c>
      <c r="K5" s="371">
        <f>SUM(I5:J5)</f>
        <v>259791.97500000001</v>
      </c>
      <c r="L5" s="449">
        <v>293168.95</v>
      </c>
      <c r="M5" s="449">
        <f>302692.25+23102.7</f>
        <v>325794.95</v>
      </c>
      <c r="N5" s="450">
        <v>348565.1983333333</v>
      </c>
      <c r="O5" s="371"/>
      <c r="P5" s="199">
        <f>MAX(L5:N5,O5,H5,K5)</f>
        <v>348565.1983333333</v>
      </c>
      <c r="Q5" s="200">
        <f>P5/2/181*E5</f>
        <v>177171.26103130754</v>
      </c>
      <c r="R5" s="200"/>
      <c r="S5" s="451">
        <f>+Q5*20.5/100</f>
        <v>36320.108511418046</v>
      </c>
      <c r="T5" s="137">
        <f>ROUNDUP(Q5-S5+R5,0)</f>
        <v>140852</v>
      </c>
      <c r="U5" s="73" t="s">
        <v>97</v>
      </c>
      <c r="W5" s="373">
        <f>+P5/2*'2º SAC'!E5/181</f>
        <v>177171.26103130751</v>
      </c>
      <c r="X5" s="374">
        <f>+Q5+R5</f>
        <v>177171.26103130754</v>
      </c>
      <c r="Y5" s="374">
        <f>+W5-X5</f>
        <v>0</v>
      </c>
    </row>
    <row r="6" spans="1:25" s="74" customFormat="1" ht="14.25" customHeight="1" x14ac:dyDescent="0.2">
      <c r="A6" s="132">
        <f>A5+1</f>
        <v>2</v>
      </c>
      <c r="B6" s="54">
        <v>23407867149</v>
      </c>
      <c r="C6" s="55" t="s">
        <v>149</v>
      </c>
      <c r="D6" s="47">
        <v>44710</v>
      </c>
      <c r="E6" s="136">
        <f t="shared" si="0"/>
        <v>184</v>
      </c>
      <c r="F6" s="271">
        <v>99890.264999999999</v>
      </c>
      <c r="G6" s="271">
        <v>12229.399999999998</v>
      </c>
      <c r="H6" s="371">
        <f t="shared" ref="H6:H22" si="1">SUM(F6:G6)</f>
        <v>112119.66499999999</v>
      </c>
      <c r="I6" s="271">
        <v>105850.64</v>
      </c>
      <c r="J6" s="271">
        <v>13530.4</v>
      </c>
      <c r="K6" s="371">
        <f t="shared" ref="K6:K22" si="2">SUM(I6:J6)</f>
        <v>119381.04</v>
      </c>
      <c r="L6" s="449">
        <v>128552.535</v>
      </c>
      <c r="M6" s="449">
        <f>127642.14+9156.9</f>
        <v>136799.04000000001</v>
      </c>
      <c r="N6" s="450">
        <v>174086.58000000002</v>
      </c>
      <c r="O6" s="371"/>
      <c r="P6" s="199">
        <f t="shared" ref="P6:P26" si="3">MAX(L6:N6,O6,H6,K6)</f>
        <v>174086.58000000002</v>
      </c>
      <c r="Q6" s="200">
        <f t="shared" ref="Q6:Q26" si="4">P6/2/181*E6</f>
        <v>88485.996464088399</v>
      </c>
      <c r="R6" s="200"/>
      <c r="S6" s="451">
        <f>+Q6*20.5/100</f>
        <v>18139.629275138122</v>
      </c>
      <c r="T6" s="137">
        <f t="shared" ref="T6:T26" si="5">ROUNDUP(Q6-S6+R6,0)</f>
        <v>70347</v>
      </c>
      <c r="U6" s="73" t="s">
        <v>97</v>
      </c>
      <c r="W6" s="373">
        <f>+P6/2*'2º SAC'!E6/181</f>
        <v>88485.996464088399</v>
      </c>
      <c r="X6" s="374">
        <f t="shared" ref="X6:X23" si="6">+Q6+R6</f>
        <v>88485.996464088399</v>
      </c>
      <c r="Y6" s="374">
        <f t="shared" ref="Y6:Y23" si="7">+W6-X6</f>
        <v>0</v>
      </c>
    </row>
    <row r="7" spans="1:25" s="74" customFormat="1" ht="14.25" customHeight="1" x14ac:dyDescent="0.2">
      <c r="A7" s="132">
        <f t="shared" ref="A7:A26" si="8">+A6+1</f>
        <v>3</v>
      </c>
      <c r="B7" s="54">
        <v>20426095034</v>
      </c>
      <c r="C7" s="55" t="s">
        <v>150</v>
      </c>
      <c r="D7" s="47">
        <v>44710</v>
      </c>
      <c r="E7" s="136">
        <f t="shared" si="0"/>
        <v>184</v>
      </c>
      <c r="F7" s="271">
        <v>63939.25</v>
      </c>
      <c r="G7" s="271">
        <v>8131.25</v>
      </c>
      <c r="H7" s="371">
        <f t="shared" si="1"/>
        <v>72070.5</v>
      </c>
      <c r="I7" s="271">
        <v>72045.36</v>
      </c>
      <c r="J7" s="271">
        <v>9041.9500000000007</v>
      </c>
      <c r="K7" s="371">
        <f t="shared" si="2"/>
        <v>81087.31</v>
      </c>
      <c r="L7" s="449">
        <v>81328.679999999993</v>
      </c>
      <c r="M7" s="449">
        <f>86184.12+6182.8</f>
        <v>92366.92</v>
      </c>
      <c r="N7" s="271">
        <v>104648.61</v>
      </c>
      <c r="O7" s="371"/>
      <c r="P7" s="199">
        <f t="shared" si="3"/>
        <v>104648.61</v>
      </c>
      <c r="Q7" s="200">
        <f t="shared" si="4"/>
        <v>53191.558674033156</v>
      </c>
      <c r="R7" s="200"/>
      <c r="S7" s="375">
        <f>+Q7*17.5/100+Q7*0.03/65*100</f>
        <v>11763.517783680411</v>
      </c>
      <c r="T7" s="137">
        <f t="shared" si="5"/>
        <v>41429</v>
      </c>
      <c r="U7" s="73" t="s">
        <v>97</v>
      </c>
      <c r="W7" s="373">
        <f>+P7/2*'2º SAC'!E7/181</f>
        <v>53191.558674033142</v>
      </c>
      <c r="X7" s="374">
        <f t="shared" si="6"/>
        <v>53191.558674033156</v>
      </c>
      <c r="Y7" s="374">
        <f t="shared" si="7"/>
        <v>0</v>
      </c>
    </row>
    <row r="8" spans="1:25" s="51" customFormat="1" ht="14.25" customHeight="1" x14ac:dyDescent="0.2">
      <c r="A8" s="132">
        <f t="shared" si="8"/>
        <v>4</v>
      </c>
      <c r="B8" s="201">
        <v>20355584098</v>
      </c>
      <c r="C8" s="55" t="s">
        <v>151</v>
      </c>
      <c r="D8" s="203">
        <v>44710</v>
      </c>
      <c r="E8" s="136">
        <f t="shared" si="0"/>
        <v>184</v>
      </c>
      <c r="F8" s="272">
        <v>63939.25</v>
      </c>
      <c r="G8" s="272">
        <v>8131.25</v>
      </c>
      <c r="H8" s="371">
        <f t="shared" si="1"/>
        <v>72070.5</v>
      </c>
      <c r="I8" s="272">
        <v>72045.36</v>
      </c>
      <c r="J8" s="272">
        <v>9041.9500000000007</v>
      </c>
      <c r="K8" s="371">
        <f t="shared" si="2"/>
        <v>81087.31</v>
      </c>
      <c r="L8" s="449">
        <v>81328.679999999993</v>
      </c>
      <c r="M8" s="449">
        <f>86184.12+6182.8</f>
        <v>92366.92</v>
      </c>
      <c r="N8" s="449">
        <v>110024.63</v>
      </c>
      <c r="O8" s="371"/>
      <c r="P8" s="199">
        <f t="shared" si="3"/>
        <v>110024.63</v>
      </c>
      <c r="Q8" s="200">
        <f t="shared" si="4"/>
        <v>55924.121325966851</v>
      </c>
      <c r="R8" s="200"/>
      <c r="S8" s="375">
        <f t="shared" ref="S8:S10" si="9">+Q8*17.5/100+Q8*0.03/65*100</f>
        <v>12367.834524011898</v>
      </c>
      <c r="T8" s="137">
        <f t="shared" si="5"/>
        <v>43557</v>
      </c>
      <c r="U8" s="196" t="s">
        <v>97</v>
      </c>
      <c r="W8" s="373">
        <f>+P8/2*'2º SAC'!E8/181</f>
        <v>55924.121325966858</v>
      </c>
      <c r="X8" s="374">
        <f t="shared" si="6"/>
        <v>55924.121325966851</v>
      </c>
      <c r="Y8" s="374">
        <f t="shared" si="7"/>
        <v>0</v>
      </c>
    </row>
    <row r="9" spans="1:25" s="51" customFormat="1" ht="14.25" customHeight="1" x14ac:dyDescent="0.2">
      <c r="A9" s="132">
        <f t="shared" si="8"/>
        <v>5</v>
      </c>
      <c r="B9" s="201">
        <v>20351621738</v>
      </c>
      <c r="C9" s="55" t="s">
        <v>153</v>
      </c>
      <c r="D9" s="208">
        <v>44710</v>
      </c>
      <c r="E9" s="136">
        <f t="shared" si="0"/>
        <v>184</v>
      </c>
      <c r="F9" s="272">
        <v>56230.25</v>
      </c>
      <c r="G9" s="272">
        <v>7375</v>
      </c>
      <c r="H9" s="371">
        <f t="shared" si="1"/>
        <v>63605.25</v>
      </c>
      <c r="I9" s="272">
        <v>65750.5</v>
      </c>
      <c r="J9" s="272">
        <v>8201</v>
      </c>
      <c r="K9" s="371">
        <f t="shared" si="2"/>
        <v>73951.5</v>
      </c>
      <c r="L9" s="449">
        <v>74218.5</v>
      </c>
      <c r="M9" s="449">
        <f>73442.25+5269.05</f>
        <v>78711.3</v>
      </c>
      <c r="N9" s="449">
        <v>100545.23000000001</v>
      </c>
      <c r="O9" s="371"/>
      <c r="P9" s="199">
        <f t="shared" si="3"/>
        <v>100545.23000000001</v>
      </c>
      <c r="Q9" s="200">
        <f t="shared" si="4"/>
        <v>51105.862762430945</v>
      </c>
      <c r="R9" s="200"/>
      <c r="S9" s="375">
        <f t="shared" si="9"/>
        <v>11302.258110922228</v>
      </c>
      <c r="T9" s="137">
        <f t="shared" si="5"/>
        <v>39804</v>
      </c>
      <c r="U9" s="196" t="s">
        <v>97</v>
      </c>
      <c r="W9" s="373">
        <f>+P9/2*'2º SAC'!E9/181</f>
        <v>51105.862762430937</v>
      </c>
      <c r="X9" s="374">
        <f t="shared" si="6"/>
        <v>51105.862762430945</v>
      </c>
      <c r="Y9" s="374">
        <f t="shared" si="7"/>
        <v>0</v>
      </c>
    </row>
    <row r="10" spans="1:25" s="51" customFormat="1" ht="14.25" customHeight="1" x14ac:dyDescent="0.2">
      <c r="A10" s="132">
        <f t="shared" si="8"/>
        <v>6</v>
      </c>
      <c r="B10" s="201">
        <v>20428710399</v>
      </c>
      <c r="C10" s="55" t="s">
        <v>154</v>
      </c>
      <c r="D10" s="208">
        <v>44710</v>
      </c>
      <c r="E10" s="136">
        <f t="shared" si="0"/>
        <v>184</v>
      </c>
      <c r="F10" s="272">
        <v>63939.25</v>
      </c>
      <c r="G10" s="272">
        <v>8131.25</v>
      </c>
      <c r="H10" s="371">
        <f t="shared" si="1"/>
        <v>72070.5</v>
      </c>
      <c r="I10" s="272">
        <v>72045.36</v>
      </c>
      <c r="J10" s="272">
        <v>9041.9500000000007</v>
      </c>
      <c r="K10" s="371">
        <f t="shared" si="2"/>
        <v>81087.31</v>
      </c>
      <c r="L10" s="449">
        <v>75866.28</v>
      </c>
      <c r="M10" s="449">
        <f>77687.07+5573.75</f>
        <v>83260.820000000007</v>
      </c>
      <c r="N10" s="449">
        <v>110024.63</v>
      </c>
      <c r="O10" s="371"/>
      <c r="P10" s="199">
        <f t="shared" si="3"/>
        <v>110024.63</v>
      </c>
      <c r="Q10" s="200">
        <f t="shared" si="4"/>
        <v>55924.121325966851</v>
      </c>
      <c r="R10" s="200"/>
      <c r="S10" s="375">
        <f t="shared" si="9"/>
        <v>12367.834524011898</v>
      </c>
      <c r="T10" s="137">
        <f t="shared" si="5"/>
        <v>43557</v>
      </c>
      <c r="U10" s="196" t="s">
        <v>97</v>
      </c>
      <c r="W10" s="373">
        <f>+P10/2*'2º SAC'!E10/181</f>
        <v>55924.121325966858</v>
      </c>
      <c r="X10" s="374">
        <f t="shared" si="6"/>
        <v>55924.121325966851</v>
      </c>
      <c r="Y10" s="374">
        <f t="shared" si="7"/>
        <v>0</v>
      </c>
    </row>
    <row r="11" spans="1:25" s="51" customFormat="1" ht="14.25" customHeight="1" x14ac:dyDescent="0.2">
      <c r="A11" s="132">
        <f t="shared" si="8"/>
        <v>7</v>
      </c>
      <c r="B11" s="201">
        <v>23290473969</v>
      </c>
      <c r="C11" s="55" t="s">
        <v>155</v>
      </c>
      <c r="D11" s="208">
        <v>44710</v>
      </c>
      <c r="E11" s="136">
        <f t="shared" si="0"/>
        <v>184</v>
      </c>
      <c r="F11" s="272">
        <v>110444.12</v>
      </c>
      <c r="G11" s="272">
        <v>14156.399999999998</v>
      </c>
      <c r="H11" s="371">
        <f t="shared" si="1"/>
        <v>124600.51999999999</v>
      </c>
      <c r="I11" s="272">
        <v>121483.92</v>
      </c>
      <c r="J11" s="272">
        <v>15662.4</v>
      </c>
      <c r="K11" s="371">
        <f t="shared" si="2"/>
        <v>137146.32</v>
      </c>
      <c r="L11" s="449">
        <v>182210.89905660378</v>
      </c>
      <c r="M11" s="449">
        <f>189939.39+14845.0483018868</f>
        <v>204784.43830188681</v>
      </c>
      <c r="N11" s="449">
        <v>249342.25471698114</v>
      </c>
      <c r="O11" s="371"/>
      <c r="P11" s="199">
        <f t="shared" si="3"/>
        <v>249342.25471698114</v>
      </c>
      <c r="Q11" s="200">
        <f t="shared" si="4"/>
        <v>126737.49963515063</v>
      </c>
      <c r="R11" s="200"/>
      <c r="S11" s="451">
        <f>+Q11*20.5/100</f>
        <v>25981.187425205881</v>
      </c>
      <c r="T11" s="137">
        <f t="shared" si="5"/>
        <v>100757</v>
      </c>
      <c r="U11" s="196" t="s">
        <v>97</v>
      </c>
      <c r="W11" s="373">
        <f>+P11/2*'2º SAC'!E11/181</f>
        <v>126737.49963515064</v>
      </c>
      <c r="X11" s="374">
        <f t="shared" si="6"/>
        <v>126737.49963515063</v>
      </c>
      <c r="Y11" s="374">
        <f t="shared" si="7"/>
        <v>0</v>
      </c>
    </row>
    <row r="12" spans="1:25" s="51" customFormat="1" ht="14.25" customHeight="1" x14ac:dyDescent="0.2">
      <c r="A12" s="132">
        <f t="shared" si="8"/>
        <v>8</v>
      </c>
      <c r="B12" s="201">
        <v>20304523825</v>
      </c>
      <c r="C12" s="55" t="s">
        <v>156</v>
      </c>
      <c r="D12" s="208">
        <v>44710</v>
      </c>
      <c r="E12" s="136">
        <f t="shared" si="0"/>
        <v>184</v>
      </c>
      <c r="F12" s="272">
        <v>57003.199999999997</v>
      </c>
      <c r="G12" s="272">
        <v>7480.75</v>
      </c>
      <c r="H12" s="371">
        <f t="shared" si="1"/>
        <v>64483.95</v>
      </c>
      <c r="I12" s="272">
        <v>72045.36</v>
      </c>
      <c r="J12" s="272">
        <v>9041.9500000000007</v>
      </c>
      <c r="K12" s="371">
        <f t="shared" si="2"/>
        <v>81087.31</v>
      </c>
      <c r="L12" s="449">
        <v>81328.679999999993</v>
      </c>
      <c r="M12" s="449">
        <f>83756.37+6009.25</f>
        <v>89765.62</v>
      </c>
      <c r="N12" s="449">
        <v>110024.63</v>
      </c>
      <c r="O12" s="371"/>
      <c r="P12" s="199">
        <f t="shared" si="3"/>
        <v>110024.63</v>
      </c>
      <c r="Q12" s="200">
        <f t="shared" si="4"/>
        <v>55924.121325966851</v>
      </c>
      <c r="R12" s="200"/>
      <c r="S12" s="375">
        <f t="shared" ref="S12:S15" si="10">+Q12*17.5/100+Q12*0.03/65*100</f>
        <v>12367.834524011898</v>
      </c>
      <c r="T12" s="137">
        <f t="shared" si="5"/>
        <v>43557</v>
      </c>
      <c r="U12" s="196" t="s">
        <v>97</v>
      </c>
      <c r="W12" s="373">
        <f>+P12/2*'2º SAC'!E12/181</f>
        <v>55924.121325966858</v>
      </c>
      <c r="X12" s="374">
        <f t="shared" si="6"/>
        <v>55924.121325966851</v>
      </c>
      <c r="Y12" s="374">
        <f t="shared" si="7"/>
        <v>0</v>
      </c>
    </row>
    <row r="13" spans="1:25" s="51" customFormat="1" ht="14.25" customHeight="1" x14ac:dyDescent="0.2">
      <c r="A13" s="132">
        <f t="shared" si="8"/>
        <v>9</v>
      </c>
      <c r="B13" s="201">
        <v>20322222719</v>
      </c>
      <c r="C13" s="55" t="s">
        <v>157</v>
      </c>
      <c r="D13" s="208">
        <v>44710</v>
      </c>
      <c r="E13" s="136">
        <f t="shared" si="0"/>
        <v>184</v>
      </c>
      <c r="F13" s="272">
        <v>61101.75</v>
      </c>
      <c r="G13" s="272">
        <v>7743.75</v>
      </c>
      <c r="H13" s="371">
        <f t="shared" si="1"/>
        <v>68845.5</v>
      </c>
      <c r="I13" s="272">
        <v>68821.959999999992</v>
      </c>
      <c r="J13" s="272">
        <v>8611.0499999999993</v>
      </c>
      <c r="K13" s="371">
        <f t="shared" si="2"/>
        <v>77433.009999999995</v>
      </c>
      <c r="L13" s="449">
        <v>72369.38</v>
      </c>
      <c r="M13" s="449">
        <f>76993.62+5523.18000000001</f>
        <v>82516.800000000003</v>
      </c>
      <c r="N13" s="449">
        <v>94554.32</v>
      </c>
      <c r="O13" s="371"/>
      <c r="P13" s="199">
        <f t="shared" si="3"/>
        <v>94554.32</v>
      </c>
      <c r="Q13" s="200">
        <f t="shared" si="4"/>
        <v>48060.759337016578</v>
      </c>
      <c r="R13" s="200"/>
      <c r="S13" s="375">
        <f t="shared" si="10"/>
        <v>10628.82177645559</v>
      </c>
      <c r="T13" s="137">
        <f t="shared" si="5"/>
        <v>37432</v>
      </c>
      <c r="U13" s="196" t="s">
        <v>97</v>
      </c>
      <c r="W13" s="373">
        <f>+P13/2*'2º SAC'!E13/181</f>
        <v>48060.759337016585</v>
      </c>
      <c r="X13" s="374">
        <f t="shared" si="6"/>
        <v>48060.759337016578</v>
      </c>
      <c r="Y13" s="374">
        <f t="shared" si="7"/>
        <v>0</v>
      </c>
    </row>
    <row r="14" spans="1:25" s="51" customFormat="1" ht="14.25" customHeight="1" x14ac:dyDescent="0.2">
      <c r="A14" s="132">
        <f t="shared" si="8"/>
        <v>10</v>
      </c>
      <c r="B14" s="201">
        <v>20425599829</v>
      </c>
      <c r="C14" s="55" t="s">
        <v>158</v>
      </c>
      <c r="D14" s="208">
        <v>44710</v>
      </c>
      <c r="E14" s="136">
        <f t="shared" si="0"/>
        <v>184</v>
      </c>
      <c r="F14" s="272">
        <v>63939.25</v>
      </c>
      <c r="G14" s="272">
        <v>8131.25</v>
      </c>
      <c r="H14" s="371">
        <f t="shared" si="1"/>
        <v>72070.5</v>
      </c>
      <c r="I14" s="272">
        <v>72045.36</v>
      </c>
      <c r="J14" s="272">
        <v>9041.9500000000007</v>
      </c>
      <c r="K14" s="371">
        <f t="shared" si="2"/>
        <v>81087.31</v>
      </c>
      <c r="L14" s="449">
        <v>75866.28</v>
      </c>
      <c r="M14" s="449">
        <f>80721.72+5791.5</f>
        <v>86513.22</v>
      </c>
      <c r="N14" s="449">
        <v>110024.63</v>
      </c>
      <c r="O14" s="371"/>
      <c r="P14" s="199">
        <f t="shared" si="3"/>
        <v>110024.63</v>
      </c>
      <c r="Q14" s="200">
        <f t="shared" si="4"/>
        <v>55924.121325966851</v>
      </c>
      <c r="R14" s="200"/>
      <c r="S14" s="375">
        <f t="shared" si="10"/>
        <v>12367.834524011898</v>
      </c>
      <c r="T14" s="137">
        <f t="shared" si="5"/>
        <v>43557</v>
      </c>
      <c r="U14" s="196" t="s">
        <v>97</v>
      </c>
      <c r="W14" s="373">
        <f>+P14/2*'2º SAC'!E14/181</f>
        <v>55924.121325966858</v>
      </c>
      <c r="X14" s="374">
        <f t="shared" si="6"/>
        <v>55924.121325966851</v>
      </c>
      <c r="Y14" s="374">
        <f t="shared" si="7"/>
        <v>0</v>
      </c>
    </row>
    <row r="15" spans="1:25" s="51" customFormat="1" ht="14.25" customHeight="1" x14ac:dyDescent="0.2">
      <c r="A15" s="132">
        <f t="shared" si="8"/>
        <v>11</v>
      </c>
      <c r="B15" s="201">
        <v>20418603136</v>
      </c>
      <c r="C15" s="55" t="s">
        <v>159</v>
      </c>
      <c r="D15" s="208">
        <v>44710</v>
      </c>
      <c r="E15" s="136">
        <f t="shared" si="0"/>
        <v>184</v>
      </c>
      <c r="F15" s="272">
        <v>63939.25</v>
      </c>
      <c r="G15" s="272">
        <v>8131.25</v>
      </c>
      <c r="H15" s="371">
        <f t="shared" si="1"/>
        <v>72070.5</v>
      </c>
      <c r="I15" s="272">
        <v>72045.36</v>
      </c>
      <c r="J15" s="272">
        <v>9041.9500000000007</v>
      </c>
      <c r="K15" s="371">
        <f t="shared" si="2"/>
        <v>81087.31</v>
      </c>
      <c r="L15" s="449">
        <v>81328.679999999993</v>
      </c>
      <c r="M15" s="449">
        <f>86184.12+6182.8</f>
        <v>92366.92</v>
      </c>
      <c r="N15" s="449">
        <v>110024.63</v>
      </c>
      <c r="O15" s="371"/>
      <c r="P15" s="199">
        <f t="shared" si="3"/>
        <v>110024.63</v>
      </c>
      <c r="Q15" s="200">
        <f t="shared" si="4"/>
        <v>55924.121325966851</v>
      </c>
      <c r="R15" s="200"/>
      <c r="S15" s="375">
        <f t="shared" si="10"/>
        <v>12367.834524011898</v>
      </c>
      <c r="T15" s="137">
        <f t="shared" si="5"/>
        <v>43557</v>
      </c>
      <c r="U15" s="196" t="s">
        <v>97</v>
      </c>
      <c r="W15" s="373">
        <f>+P15/2*'2º SAC'!E15/181</f>
        <v>55924.121325966858</v>
      </c>
      <c r="X15" s="374">
        <f t="shared" si="6"/>
        <v>55924.121325966851</v>
      </c>
      <c r="Y15" s="374">
        <f t="shared" si="7"/>
        <v>0</v>
      </c>
    </row>
    <row r="16" spans="1:25" s="51" customFormat="1" ht="14.25" customHeight="1" x14ac:dyDescent="0.2">
      <c r="A16" s="132">
        <f t="shared" si="8"/>
        <v>12</v>
      </c>
      <c r="B16" s="201">
        <v>20320535248</v>
      </c>
      <c r="C16" s="55" t="s">
        <v>160</v>
      </c>
      <c r="D16" s="208">
        <v>44710</v>
      </c>
      <c r="E16" s="136">
        <f t="shared" si="0"/>
        <v>184</v>
      </c>
      <c r="F16" s="272">
        <v>92046.44</v>
      </c>
      <c r="G16" s="272">
        <v>11646.600000000002</v>
      </c>
      <c r="H16" s="371">
        <f t="shared" si="1"/>
        <v>103693.04000000001</v>
      </c>
      <c r="I16" s="272">
        <v>104535.01499999998</v>
      </c>
      <c r="J16" s="272">
        <v>12885.6</v>
      </c>
      <c r="K16" s="371">
        <f t="shared" si="2"/>
        <v>117420.61499999999</v>
      </c>
      <c r="L16" s="449">
        <v>123076</v>
      </c>
      <c r="M16" s="449">
        <f>126544.18+9076.82000000001</f>
        <v>135621</v>
      </c>
      <c r="N16" s="449">
        <v>151128.00000000003</v>
      </c>
      <c r="O16" s="371"/>
      <c r="P16" s="199">
        <f t="shared" si="3"/>
        <v>151128.00000000003</v>
      </c>
      <c r="Q16" s="200">
        <f t="shared" si="4"/>
        <v>76816.44198895029</v>
      </c>
      <c r="R16" s="200"/>
      <c r="S16" s="451">
        <f t="shared" ref="S16:S22" si="11">+Q16*20.5/100</f>
        <v>15747.370607734809</v>
      </c>
      <c r="T16" s="137">
        <f t="shared" si="5"/>
        <v>61070</v>
      </c>
      <c r="U16" s="196" t="s">
        <v>97</v>
      </c>
      <c r="W16" s="373">
        <f>+P16/2*'2º SAC'!E16/181</f>
        <v>76816.44198895029</v>
      </c>
      <c r="X16" s="374">
        <f t="shared" si="6"/>
        <v>76816.44198895029</v>
      </c>
      <c r="Y16" s="374">
        <f t="shared" si="7"/>
        <v>0</v>
      </c>
    </row>
    <row r="17" spans="1:25" s="51" customFormat="1" ht="14.25" customHeight="1" x14ac:dyDescent="0.2">
      <c r="A17" s="132">
        <f t="shared" si="8"/>
        <v>13</v>
      </c>
      <c r="B17" s="201">
        <v>20403630382</v>
      </c>
      <c r="C17" s="55" t="s">
        <v>161</v>
      </c>
      <c r="D17" s="208">
        <v>44710</v>
      </c>
      <c r="E17" s="136">
        <f t="shared" si="0"/>
        <v>184</v>
      </c>
      <c r="F17" s="272">
        <v>61101.75</v>
      </c>
      <c r="G17" s="272">
        <v>7743.75</v>
      </c>
      <c r="H17" s="371">
        <f t="shared" si="1"/>
        <v>68845.5</v>
      </c>
      <c r="I17" s="272">
        <v>64383.56</v>
      </c>
      <c r="J17" s="272">
        <v>8301.3000000000011</v>
      </c>
      <c r="K17" s="371">
        <f t="shared" si="2"/>
        <v>72684.86</v>
      </c>
      <c r="L17" s="449">
        <v>77687.28</v>
      </c>
      <c r="M17" s="449">
        <f>76993.62+8124.48000000001</f>
        <v>85118.1</v>
      </c>
      <c r="N17" s="449">
        <v>100545.23000000001</v>
      </c>
      <c r="O17" s="371"/>
      <c r="P17" s="199">
        <f t="shared" si="3"/>
        <v>100545.23000000001</v>
      </c>
      <c r="Q17" s="200">
        <f t="shared" si="4"/>
        <v>51105.862762430945</v>
      </c>
      <c r="R17" s="200"/>
      <c r="S17" s="375">
        <f t="shared" ref="S17:S21" si="12">+Q17*17.5/100+Q17*0.03/65*100</f>
        <v>11302.258110922228</v>
      </c>
      <c r="T17" s="137">
        <f t="shared" si="5"/>
        <v>39804</v>
      </c>
      <c r="U17" s="196" t="s">
        <v>97</v>
      </c>
      <c r="W17" s="373">
        <f>+P17/2*'2º SAC'!E17/181</f>
        <v>51105.862762430937</v>
      </c>
      <c r="X17" s="374">
        <f t="shared" si="6"/>
        <v>51105.862762430945</v>
      </c>
      <c r="Y17" s="374">
        <f t="shared" si="7"/>
        <v>0</v>
      </c>
    </row>
    <row r="18" spans="1:25" s="51" customFormat="1" ht="14.25" customHeight="1" x14ac:dyDescent="0.2">
      <c r="A18" s="132">
        <f t="shared" si="8"/>
        <v>14</v>
      </c>
      <c r="B18" s="201">
        <v>20410868874</v>
      </c>
      <c r="C18" s="55" t="s">
        <v>162</v>
      </c>
      <c r="D18" s="208">
        <v>44710</v>
      </c>
      <c r="E18" s="136">
        <f t="shared" si="0"/>
        <v>184</v>
      </c>
      <c r="F18" s="272">
        <v>61101.75</v>
      </c>
      <c r="G18" s="272">
        <v>7743.75</v>
      </c>
      <c r="H18" s="371">
        <f t="shared" si="1"/>
        <v>68845.5</v>
      </c>
      <c r="I18" s="272">
        <v>68821.959999999992</v>
      </c>
      <c r="J18" s="272">
        <v>8611.0499999999993</v>
      </c>
      <c r="K18" s="371">
        <f t="shared" si="2"/>
        <v>77433.009999999995</v>
      </c>
      <c r="L18" s="449">
        <v>77687.28</v>
      </c>
      <c r="M18" s="449">
        <f>74103.47+5315.83</f>
        <v>79419.3</v>
      </c>
      <c r="N18" s="449">
        <v>100545.23000000001</v>
      </c>
      <c r="O18" s="371"/>
      <c r="P18" s="199">
        <f t="shared" si="3"/>
        <v>100545.23000000001</v>
      </c>
      <c r="Q18" s="200">
        <f t="shared" si="4"/>
        <v>51105.862762430945</v>
      </c>
      <c r="R18" s="200"/>
      <c r="S18" s="375">
        <f t="shared" si="12"/>
        <v>11302.258110922228</v>
      </c>
      <c r="T18" s="137">
        <f t="shared" si="5"/>
        <v>39804</v>
      </c>
      <c r="U18" s="196" t="s">
        <v>97</v>
      </c>
      <c r="W18" s="373">
        <f>+P18/2*'2º SAC'!E18/181</f>
        <v>51105.862762430937</v>
      </c>
      <c r="X18" s="374">
        <f t="shared" si="6"/>
        <v>51105.862762430945</v>
      </c>
      <c r="Y18" s="374">
        <f t="shared" si="7"/>
        <v>0</v>
      </c>
    </row>
    <row r="19" spans="1:25" s="51" customFormat="1" ht="14.25" customHeight="1" x14ac:dyDescent="0.2">
      <c r="A19" s="132">
        <f t="shared" si="8"/>
        <v>15</v>
      </c>
      <c r="B19" s="201">
        <v>23401204679</v>
      </c>
      <c r="C19" s="55" t="s">
        <v>163</v>
      </c>
      <c r="D19" s="208">
        <v>44710</v>
      </c>
      <c r="E19" s="136">
        <f t="shared" si="0"/>
        <v>184</v>
      </c>
      <c r="F19" s="272">
        <v>58398</v>
      </c>
      <c r="G19" s="272">
        <v>7375</v>
      </c>
      <c r="H19" s="371">
        <f t="shared" si="1"/>
        <v>65773</v>
      </c>
      <c r="I19" s="272">
        <v>65750.5</v>
      </c>
      <c r="J19" s="272">
        <v>8201</v>
      </c>
      <c r="K19" s="371">
        <f t="shared" si="2"/>
        <v>73951.5</v>
      </c>
      <c r="L19" s="449">
        <v>74218.5</v>
      </c>
      <c r="M19" s="449">
        <f>76194.75+5466.55</f>
        <v>81661.3</v>
      </c>
      <c r="N19" s="449">
        <v>91866.31</v>
      </c>
      <c r="O19" s="371"/>
      <c r="P19" s="199">
        <f t="shared" si="3"/>
        <v>91866.31</v>
      </c>
      <c r="Q19" s="200">
        <f t="shared" si="4"/>
        <v>46694.478011049723</v>
      </c>
      <c r="R19" s="200"/>
      <c r="S19" s="375">
        <f t="shared" si="12"/>
        <v>10326.663406289843</v>
      </c>
      <c r="T19" s="137">
        <f t="shared" si="5"/>
        <v>36368</v>
      </c>
      <c r="U19" s="196" t="s">
        <v>97</v>
      </c>
      <c r="W19" s="373">
        <f>+P19/2*'2º SAC'!E19/181</f>
        <v>46694.478011049723</v>
      </c>
      <c r="X19" s="374">
        <f t="shared" si="6"/>
        <v>46694.478011049723</v>
      </c>
      <c r="Y19" s="374">
        <f t="shared" si="7"/>
        <v>0</v>
      </c>
    </row>
    <row r="20" spans="1:25" s="51" customFormat="1" ht="14.25" customHeight="1" x14ac:dyDescent="0.2">
      <c r="A20" s="132">
        <f t="shared" si="8"/>
        <v>16</v>
      </c>
      <c r="B20" s="201">
        <v>20438407325</v>
      </c>
      <c r="C20" s="55" t="s">
        <v>164</v>
      </c>
      <c r="D20" s="208">
        <v>44710</v>
      </c>
      <c r="E20" s="136">
        <f t="shared" si="0"/>
        <v>184</v>
      </c>
      <c r="F20" s="272">
        <v>61101.75</v>
      </c>
      <c r="G20" s="272">
        <v>7743.75</v>
      </c>
      <c r="H20" s="371">
        <f t="shared" si="1"/>
        <v>68845.5</v>
      </c>
      <c r="I20" s="272">
        <v>67493.459999999992</v>
      </c>
      <c r="J20" s="272">
        <v>8505.9000000000015</v>
      </c>
      <c r="K20" s="371">
        <f t="shared" si="2"/>
        <v>75999.359999999986</v>
      </c>
      <c r="L20" s="449">
        <v>81328.679999999993</v>
      </c>
      <c r="M20" s="449">
        <f>83756.37+6009.25</f>
        <v>89765.62</v>
      </c>
      <c r="N20" s="449">
        <v>105168.03000000001</v>
      </c>
      <c r="O20" s="371"/>
      <c r="P20" s="199">
        <f t="shared" si="3"/>
        <v>105168.03000000001</v>
      </c>
      <c r="Q20" s="200">
        <f t="shared" si="4"/>
        <v>53455.573259668512</v>
      </c>
      <c r="R20" s="200"/>
      <c r="S20" s="375">
        <f t="shared" si="12"/>
        <v>11821.905624734383</v>
      </c>
      <c r="T20" s="137">
        <f t="shared" si="5"/>
        <v>41634</v>
      </c>
      <c r="U20" s="196" t="s">
        <v>97</v>
      </c>
      <c r="W20" s="373">
        <f>+P20/2*'2º SAC'!E20/181</f>
        <v>53455.573259668519</v>
      </c>
      <c r="X20" s="374">
        <f t="shared" si="6"/>
        <v>53455.573259668512</v>
      </c>
      <c r="Y20" s="374">
        <f t="shared" si="7"/>
        <v>0</v>
      </c>
    </row>
    <row r="21" spans="1:25" s="51" customFormat="1" ht="14.25" customHeight="1" x14ac:dyDescent="0.2">
      <c r="A21" s="132">
        <f t="shared" si="8"/>
        <v>17</v>
      </c>
      <c r="B21" s="201">
        <v>23429243939</v>
      </c>
      <c r="C21" s="55" t="s">
        <v>166</v>
      </c>
      <c r="D21" s="208">
        <v>44710</v>
      </c>
      <c r="E21" s="136">
        <f t="shared" si="0"/>
        <v>184</v>
      </c>
      <c r="F21" s="272">
        <v>56230.25</v>
      </c>
      <c r="G21" s="272">
        <v>7375</v>
      </c>
      <c r="H21" s="371">
        <f t="shared" si="1"/>
        <v>63605.25</v>
      </c>
      <c r="I21" s="272">
        <v>65750.5</v>
      </c>
      <c r="J21" s="272">
        <v>8201</v>
      </c>
      <c r="K21" s="371">
        <f t="shared" si="2"/>
        <v>73951.5</v>
      </c>
      <c r="L21" s="449">
        <v>67386.75</v>
      </c>
      <c r="M21" s="449">
        <f>78622.5+5640.10000000001</f>
        <v>84262.6</v>
      </c>
      <c r="N21" s="449">
        <v>105168.03000000001</v>
      </c>
      <c r="O21" s="371"/>
      <c r="P21" s="199">
        <f t="shared" si="3"/>
        <v>105168.03000000001</v>
      </c>
      <c r="Q21" s="200">
        <f t="shared" si="4"/>
        <v>53455.573259668512</v>
      </c>
      <c r="R21" s="200"/>
      <c r="S21" s="375">
        <f t="shared" si="12"/>
        <v>11821.905624734383</v>
      </c>
      <c r="T21" s="137">
        <f t="shared" si="5"/>
        <v>41634</v>
      </c>
      <c r="U21" s="196" t="s">
        <v>97</v>
      </c>
      <c r="W21" s="373">
        <f>+P21/2*'2º SAC'!E21/181</f>
        <v>53455.573259668519</v>
      </c>
      <c r="X21" s="374">
        <f t="shared" si="6"/>
        <v>53455.573259668512</v>
      </c>
      <c r="Y21" s="374">
        <f t="shared" si="7"/>
        <v>0</v>
      </c>
    </row>
    <row r="22" spans="1:25" s="51" customFormat="1" ht="14.25" customHeight="1" x14ac:dyDescent="0.2">
      <c r="A22" s="132">
        <f t="shared" si="8"/>
        <v>18</v>
      </c>
      <c r="B22" s="201">
        <v>20372389584</v>
      </c>
      <c r="C22" s="55" t="s">
        <v>167</v>
      </c>
      <c r="D22" s="208">
        <v>44710</v>
      </c>
      <c r="E22" s="136">
        <f t="shared" si="0"/>
        <v>184</v>
      </c>
      <c r="F22" s="272">
        <v>71354.284526051473</v>
      </c>
      <c r="G22" s="272">
        <v>8131.25</v>
      </c>
      <c r="H22" s="371">
        <f t="shared" si="1"/>
        <v>79485.534526051473</v>
      </c>
      <c r="I22" s="272">
        <v>79460.394526051474</v>
      </c>
      <c r="J22" s="272">
        <v>9041.9500000000007</v>
      </c>
      <c r="K22" s="371">
        <f t="shared" si="2"/>
        <v>88502.344526051471</v>
      </c>
      <c r="L22" s="449">
        <v>132390.65433962265</v>
      </c>
      <c r="M22" s="449">
        <f>134211.444339623+9680.33805031449</f>
        <v>143891.78238993749</v>
      </c>
      <c r="N22" s="449">
        <v>177700.2016981132</v>
      </c>
      <c r="O22" s="371"/>
      <c r="P22" s="199">
        <f t="shared" si="3"/>
        <v>177700.2016981132</v>
      </c>
      <c r="Q22" s="200">
        <f t="shared" si="4"/>
        <v>90322.754454289578</v>
      </c>
      <c r="R22" s="200"/>
      <c r="S22" s="451">
        <f t="shared" si="11"/>
        <v>18516.164663129362</v>
      </c>
      <c r="T22" s="137">
        <f t="shared" si="5"/>
        <v>71807</v>
      </c>
      <c r="U22" s="196" t="s">
        <v>97</v>
      </c>
      <c r="W22" s="373">
        <f>+P22/2*'2º SAC'!E22/181</f>
        <v>90322.754454289592</v>
      </c>
      <c r="X22" s="374">
        <f t="shared" si="6"/>
        <v>90322.754454289578</v>
      </c>
      <c r="Y22" s="374">
        <f t="shared" si="7"/>
        <v>0</v>
      </c>
    </row>
    <row r="23" spans="1:25" s="51" customFormat="1" ht="14.25" customHeight="1" x14ac:dyDescent="0.2">
      <c r="A23" s="132">
        <f t="shared" si="8"/>
        <v>19</v>
      </c>
      <c r="B23" s="201" t="s">
        <v>218</v>
      </c>
      <c r="C23" s="55" t="s">
        <v>219</v>
      </c>
      <c r="D23" s="208">
        <v>44815</v>
      </c>
      <c r="E23" s="136">
        <f t="shared" si="0"/>
        <v>111</v>
      </c>
      <c r="F23" s="263"/>
      <c r="G23" s="263"/>
      <c r="H23" s="263"/>
      <c r="I23" s="263"/>
      <c r="J23" s="263"/>
      <c r="K23" s="263"/>
      <c r="L23" s="449">
        <v>71466</v>
      </c>
      <c r="M23" s="449">
        <f>78622.5+5640.10000000001</f>
        <v>84262.6</v>
      </c>
      <c r="N23" s="449">
        <v>96140.83</v>
      </c>
      <c r="O23" s="371"/>
      <c r="P23" s="199">
        <f t="shared" si="3"/>
        <v>96140.83</v>
      </c>
      <c r="Q23" s="200">
        <f t="shared" si="4"/>
        <v>29479.646767955805</v>
      </c>
      <c r="R23" s="200"/>
      <c r="S23" s="375">
        <f t="shared" ref="S23:S25" si="13">+Q23*17.5/100+Q23*0.03/65*100</f>
        <v>6519.5372659902259</v>
      </c>
      <c r="T23" s="137">
        <f t="shared" si="5"/>
        <v>22961</v>
      </c>
      <c r="U23" s="196" t="s">
        <v>97</v>
      </c>
      <c r="W23" s="373">
        <f>+P23/2*'2º SAC'!E23/181</f>
        <v>29479.646767955805</v>
      </c>
      <c r="X23" s="374">
        <f t="shared" si="6"/>
        <v>29479.646767955805</v>
      </c>
      <c r="Y23" s="374">
        <f t="shared" si="7"/>
        <v>0</v>
      </c>
    </row>
    <row r="24" spans="1:25" s="51" customFormat="1" ht="14.25" customHeight="1" x14ac:dyDescent="0.2">
      <c r="A24" s="132">
        <f t="shared" si="8"/>
        <v>20</v>
      </c>
      <c r="B24" s="201" t="s">
        <v>239</v>
      </c>
      <c r="C24" s="55" t="s">
        <v>240</v>
      </c>
      <c r="D24" s="208">
        <v>44829</v>
      </c>
      <c r="E24" s="136">
        <f t="shared" si="0"/>
        <v>97</v>
      </c>
      <c r="F24" s="263"/>
      <c r="G24" s="263"/>
      <c r="H24" s="263"/>
      <c r="I24" s="263"/>
      <c r="J24" s="263"/>
      <c r="K24" s="263"/>
      <c r="L24" s="449">
        <v>13762.5</v>
      </c>
      <c r="M24" s="449">
        <f>78622.5+5640.10000000001</f>
        <v>84262.6</v>
      </c>
      <c r="N24" s="449">
        <v>96140.83</v>
      </c>
      <c r="O24" s="371"/>
      <c r="P24" s="199">
        <f t="shared" si="3"/>
        <v>96140.83</v>
      </c>
      <c r="Q24" s="200">
        <f t="shared" si="4"/>
        <v>25761.493121546962</v>
      </c>
      <c r="R24" s="200"/>
      <c r="S24" s="375">
        <f t="shared" si="13"/>
        <v>5697.2532864959621</v>
      </c>
      <c r="T24" s="137">
        <f t="shared" si="5"/>
        <v>20065</v>
      </c>
      <c r="U24" s="196" t="s">
        <v>97</v>
      </c>
      <c r="W24" s="373">
        <f>+P24/2*'2º SAC'!E24/181</f>
        <v>25761.493121546962</v>
      </c>
      <c r="X24" s="374">
        <f t="shared" ref="X24:X26" si="14">+Q24+R24</f>
        <v>25761.493121546962</v>
      </c>
      <c r="Y24" s="374">
        <f t="shared" ref="Y24:Y26" si="15">+W24-X24</f>
        <v>0</v>
      </c>
    </row>
    <row r="25" spans="1:25" s="51" customFormat="1" ht="14.25" customHeight="1" x14ac:dyDescent="0.2">
      <c r="A25" s="132">
        <f t="shared" si="8"/>
        <v>21</v>
      </c>
      <c r="B25" s="201" t="s">
        <v>246</v>
      </c>
      <c r="C25" s="55" t="s">
        <v>247</v>
      </c>
      <c r="D25" s="208">
        <v>44866</v>
      </c>
      <c r="E25" s="136">
        <f t="shared" si="0"/>
        <v>60</v>
      </c>
      <c r="F25" s="263"/>
      <c r="G25" s="263"/>
      <c r="H25" s="263"/>
      <c r="I25" s="263"/>
      <c r="J25" s="263"/>
      <c r="K25" s="263"/>
      <c r="L25" s="263"/>
      <c r="M25" s="263"/>
      <c r="N25" s="449">
        <v>96140.83</v>
      </c>
      <c r="O25" s="371"/>
      <c r="P25" s="199">
        <f t="shared" si="3"/>
        <v>96140.83</v>
      </c>
      <c r="Q25" s="200">
        <f t="shared" si="4"/>
        <v>15934.944198895029</v>
      </c>
      <c r="R25" s="200"/>
      <c r="S25" s="375">
        <f t="shared" si="13"/>
        <v>3524.074197832555</v>
      </c>
      <c r="T25" s="137">
        <f t="shared" si="5"/>
        <v>12411</v>
      </c>
      <c r="U25" s="196" t="s">
        <v>97</v>
      </c>
      <c r="W25" s="373">
        <f>+P25/2*'2º SAC'!E25/181</f>
        <v>15934.944198895028</v>
      </c>
      <c r="X25" s="374">
        <f t="shared" si="14"/>
        <v>15934.944198895029</v>
      </c>
      <c r="Y25" s="374">
        <f t="shared" si="15"/>
        <v>0</v>
      </c>
    </row>
    <row r="26" spans="1:25" s="51" customFormat="1" ht="14.25" customHeight="1" x14ac:dyDescent="0.2">
      <c r="A26" s="132">
        <f t="shared" si="8"/>
        <v>22</v>
      </c>
      <c r="B26" s="201" t="s">
        <v>251</v>
      </c>
      <c r="C26" s="55" t="s">
        <v>252</v>
      </c>
      <c r="D26" s="208">
        <v>44887</v>
      </c>
      <c r="E26" s="136">
        <f t="shared" si="0"/>
        <v>39</v>
      </c>
      <c r="F26" s="263"/>
      <c r="G26" s="263"/>
      <c r="H26" s="263"/>
      <c r="I26" s="263"/>
      <c r="J26" s="263"/>
      <c r="K26" s="263"/>
      <c r="L26" s="263"/>
      <c r="M26" s="263"/>
      <c r="N26" s="449">
        <v>110000</v>
      </c>
      <c r="O26" s="371"/>
      <c r="P26" s="199">
        <f t="shared" si="3"/>
        <v>110000</v>
      </c>
      <c r="Q26" s="200">
        <f t="shared" si="4"/>
        <v>11850.828729281768</v>
      </c>
      <c r="R26" s="200"/>
      <c r="S26" s="375">
        <f>+Q26*0.17</f>
        <v>2014.6408839779006</v>
      </c>
      <c r="T26" s="137">
        <f t="shared" si="5"/>
        <v>9837</v>
      </c>
      <c r="U26" s="196" t="s">
        <v>97</v>
      </c>
      <c r="W26" s="373">
        <f>+P26/2*'2º SAC'!E26/181</f>
        <v>11850.828729281768</v>
      </c>
      <c r="X26" s="374">
        <f t="shared" si="14"/>
        <v>11850.828729281768</v>
      </c>
      <c r="Y26" s="374">
        <f t="shared" si="15"/>
        <v>0</v>
      </c>
    </row>
    <row r="27" spans="1:25" s="75" customFormat="1" ht="19.5" customHeight="1" x14ac:dyDescent="0.2">
      <c r="A27" s="538" t="s">
        <v>48</v>
      </c>
      <c r="B27" s="539"/>
      <c r="C27" s="539"/>
      <c r="D27" s="539"/>
      <c r="E27" s="540"/>
      <c r="F27" s="194">
        <f t="shared" ref="F27:K27" si="16">SUM(F5:F23)</f>
        <v>1413692.0345260515</v>
      </c>
      <c r="G27" s="194">
        <f t="shared" si="16"/>
        <v>159200.65</v>
      </c>
      <c r="H27" s="194">
        <f t="shared" si="16"/>
        <v>1572892.6845260514</v>
      </c>
      <c r="I27" s="194">
        <f t="shared" si="16"/>
        <v>1558366.5445260513</v>
      </c>
      <c r="J27" s="194">
        <f t="shared" si="16"/>
        <v>175804.34999999998</v>
      </c>
      <c r="K27" s="194">
        <f t="shared" si="16"/>
        <v>1734170.8945260518</v>
      </c>
      <c r="L27" s="194">
        <f>SUM(L5:L8)</f>
        <v>584378.84499999997</v>
      </c>
      <c r="M27" s="194">
        <f>SUM(M5:M8)</f>
        <v>647327.83000000007</v>
      </c>
      <c r="N27" s="194">
        <f>SUM(N5:N23)</f>
        <v>2550127.2047484275</v>
      </c>
      <c r="O27" s="194">
        <f>SUM(O5:O23)</f>
        <v>0</v>
      </c>
      <c r="P27" s="194">
        <f>SUM(P5:P23)</f>
        <v>2550127.2047484275</v>
      </c>
      <c r="Q27" s="194">
        <f t="shared" ref="Q27:S27" si="17">SUM(Q5:Q23)</f>
        <v>1276809.7378003057</v>
      </c>
      <c r="R27" s="194">
        <f t="shared" si="17"/>
        <v>0</v>
      </c>
      <c r="S27" s="194">
        <f t="shared" si="17"/>
        <v>273332.75891733723</v>
      </c>
      <c r="T27" s="194">
        <f>SUM(T5:T26)</f>
        <v>1045801</v>
      </c>
    </row>
    <row r="28" spans="1:25" ht="13.5" x14ac:dyDescent="0.25">
      <c r="A28" s="23"/>
      <c r="B28" s="23"/>
      <c r="C28" s="76"/>
      <c r="D28" s="24"/>
      <c r="E28" s="25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</sheetData>
  <autoFilter ref="A4:Z27"/>
  <mergeCells count="4">
    <mergeCell ref="L1:M1"/>
    <mergeCell ref="A27:E27"/>
    <mergeCell ref="F3:H3"/>
    <mergeCell ref="I3:K3"/>
  </mergeCells>
  <pageMargins left="0.70866141732283472" right="0.39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F27" sqref="F27"/>
    </sheetView>
  </sheetViews>
  <sheetFormatPr baseColWidth="10" defaultRowHeight="12.75" x14ac:dyDescent="0.2"/>
  <cols>
    <col min="1" max="1" width="13.7109375" style="355" customWidth="1"/>
    <col min="2" max="2" width="25.5703125" style="355" customWidth="1"/>
    <col min="3" max="3" width="23" style="355" customWidth="1"/>
    <col min="4" max="4" width="11.42578125" style="355"/>
    <col min="5" max="5" width="12.28515625" style="355" bestFit="1" customWidth="1"/>
    <col min="6" max="6" width="15.28515625" style="355" customWidth="1"/>
    <col min="7" max="7" width="14.85546875" style="355" customWidth="1"/>
    <col min="8" max="16384" width="11.42578125" style="355"/>
  </cols>
  <sheetData>
    <row r="1" spans="1:8" ht="30" x14ac:dyDescent="0.2">
      <c r="A1" s="353" t="s">
        <v>182</v>
      </c>
      <c r="B1" s="353" t="s">
        <v>1</v>
      </c>
      <c r="C1" s="354" t="s">
        <v>29</v>
      </c>
      <c r="D1" s="353" t="s">
        <v>3</v>
      </c>
      <c r="E1" s="353" t="s">
        <v>207</v>
      </c>
      <c r="F1" s="353" t="s">
        <v>208</v>
      </c>
      <c r="G1" s="353" t="s">
        <v>209</v>
      </c>
      <c r="H1" s="353" t="s">
        <v>210</v>
      </c>
    </row>
    <row r="2" spans="1:8" x14ac:dyDescent="0.2">
      <c r="A2" s="356">
        <v>20267676527</v>
      </c>
      <c r="B2" s="357" t="s">
        <v>146</v>
      </c>
      <c r="C2" s="358" t="str">
        <f>+'CARGAS SOCIALES'!E5</f>
        <v>ADM INICIAL</v>
      </c>
      <c r="D2" s="359">
        <v>44710</v>
      </c>
      <c r="E2" s="396">
        <v>86500</v>
      </c>
      <c r="F2" s="360">
        <f>+'CARGAS SOCIALES'!Q5</f>
        <v>382431.13500000001</v>
      </c>
      <c r="G2" s="360">
        <v>11800</v>
      </c>
      <c r="H2" s="360">
        <v>208954</v>
      </c>
    </row>
    <row r="3" spans="1:8" x14ac:dyDescent="0.2">
      <c r="A3" s="356">
        <v>23407867149</v>
      </c>
      <c r="B3" s="357" t="s">
        <v>149</v>
      </c>
      <c r="C3" s="358" t="str">
        <f>+'CARGAS SOCIALES'!E6</f>
        <v>CALIF PROD</v>
      </c>
      <c r="D3" s="359">
        <v>44710</v>
      </c>
      <c r="E3" s="396">
        <f>476.83*176</f>
        <v>83922.08</v>
      </c>
      <c r="F3" s="360">
        <f>+'CARGAS SOCIALES'!Q6</f>
        <v>212610.14</v>
      </c>
      <c r="G3" s="360">
        <v>13530.4</v>
      </c>
      <c r="H3" s="360">
        <v>97682</v>
      </c>
    </row>
    <row r="4" spans="1:8" x14ac:dyDescent="0.2">
      <c r="A4" s="356">
        <v>20426095034</v>
      </c>
      <c r="B4" s="357" t="s">
        <v>150</v>
      </c>
      <c r="C4" s="358" t="str">
        <f>+'CARGAS SOCIALES'!E7</f>
        <v>CALIF PROD</v>
      </c>
      <c r="D4" s="359">
        <v>44710</v>
      </c>
      <c r="E4" s="396">
        <f>476.83*176*0.65</f>
        <v>54549.352000000006</v>
      </c>
      <c r="F4" s="360">
        <f>+'CARGAS SOCIALES'!Q7</f>
        <v>130187.75999999998</v>
      </c>
      <c r="G4" s="360">
        <v>9041.9500000000007</v>
      </c>
      <c r="H4" s="360">
        <v>65155</v>
      </c>
    </row>
    <row r="5" spans="1:8" x14ac:dyDescent="0.2">
      <c r="A5" s="356">
        <v>20355584098</v>
      </c>
      <c r="B5" s="357" t="s">
        <v>151</v>
      </c>
      <c r="C5" s="358" t="str">
        <f>+'CARGAS SOCIALES'!E8</f>
        <v>CALIF PROD</v>
      </c>
      <c r="D5" s="359">
        <v>44710</v>
      </c>
      <c r="E5" s="396">
        <f>476.83*176*0.65</f>
        <v>54549.352000000006</v>
      </c>
      <c r="F5" s="360">
        <f>+'CARGAS SOCIALES'!Q8</f>
        <v>133136.02999999997</v>
      </c>
      <c r="G5" s="360">
        <v>9041.9500000000007</v>
      </c>
      <c r="H5" s="360">
        <v>65155</v>
      </c>
    </row>
    <row r="6" spans="1:8" x14ac:dyDescent="0.2">
      <c r="A6" s="356">
        <v>20351621738</v>
      </c>
      <c r="B6" s="357" t="s">
        <v>153</v>
      </c>
      <c r="C6" s="358" t="str">
        <f>+'CARGAS SOCIALES'!E9</f>
        <v>PEON PRACTICO PROD</v>
      </c>
      <c r="D6" s="359">
        <v>44710</v>
      </c>
      <c r="E6" s="396">
        <f>432.5*176*0.65</f>
        <v>49478</v>
      </c>
      <c r="F6" s="360">
        <f>+'CARGAS SOCIALES'!Q9</f>
        <v>121257.37</v>
      </c>
      <c r="G6" s="360">
        <v>8201</v>
      </c>
      <c r="H6" s="360">
        <v>59411</v>
      </c>
    </row>
    <row r="7" spans="1:8" x14ac:dyDescent="0.2">
      <c r="A7" s="356">
        <v>20428710399</v>
      </c>
      <c r="B7" s="357" t="s">
        <v>154</v>
      </c>
      <c r="C7" s="358" t="str">
        <f>+'CARGAS SOCIALES'!E10</f>
        <v>CALIF PROD</v>
      </c>
      <c r="D7" s="359">
        <v>44710</v>
      </c>
      <c r="E7" s="396">
        <f>476.83*176*0.65</f>
        <v>54549.352000000006</v>
      </c>
      <c r="F7" s="360">
        <f>+'CARGAS SOCIALES'!Q10</f>
        <v>123301.72999999998</v>
      </c>
      <c r="G7" s="360">
        <v>9041.9500000000007</v>
      </c>
      <c r="H7" s="360">
        <v>65155</v>
      </c>
    </row>
    <row r="8" spans="1:8" x14ac:dyDescent="0.2">
      <c r="A8" s="356">
        <v>23290473969</v>
      </c>
      <c r="B8" s="357" t="s">
        <v>155</v>
      </c>
      <c r="C8" s="358" t="str">
        <f>+'CARGAS SOCIALES'!E11</f>
        <v>ESPECIALIZADO ING</v>
      </c>
      <c r="D8" s="359">
        <v>44710</v>
      </c>
      <c r="E8" s="396">
        <f>551.99*176</f>
        <v>97150.24</v>
      </c>
      <c r="F8" s="360">
        <f>+'CARGAS SOCIALES'!Q11</f>
        <v>303004.21584905661</v>
      </c>
      <c r="G8" s="360">
        <v>15662.4</v>
      </c>
      <c r="H8" s="360">
        <v>112243</v>
      </c>
    </row>
    <row r="9" spans="1:8" x14ac:dyDescent="0.2">
      <c r="A9" s="356">
        <v>20304523825</v>
      </c>
      <c r="B9" s="357" t="s">
        <v>156</v>
      </c>
      <c r="C9" s="358" t="str">
        <f>+'CARGAS SOCIALES'!E12</f>
        <v>CALIF PROD</v>
      </c>
      <c r="D9" s="359">
        <v>44710</v>
      </c>
      <c r="E9" s="396">
        <f>476.83*176*0.65</f>
        <v>54549.352000000006</v>
      </c>
      <c r="F9" s="360">
        <f>+'CARGAS SOCIALES'!Q12</f>
        <v>132962.47999999998</v>
      </c>
      <c r="G9" s="360">
        <v>9041.9500000000007</v>
      </c>
      <c r="H9" s="360">
        <v>65155</v>
      </c>
    </row>
    <row r="10" spans="1:8" x14ac:dyDescent="0.2">
      <c r="A10" s="356">
        <v>20322222719</v>
      </c>
      <c r="B10" s="357" t="s">
        <v>157</v>
      </c>
      <c r="C10" s="358" t="str">
        <f>+'CARGAS SOCIALES'!E13</f>
        <v>PEON PRACTICO PROD</v>
      </c>
      <c r="D10" s="359">
        <v>44710</v>
      </c>
      <c r="E10" s="396">
        <f>454.13*176*0.65</f>
        <v>51952.472000000002</v>
      </c>
      <c r="F10" s="360">
        <f>+'CARGAS SOCIALES'!Q13</f>
        <v>114967.35</v>
      </c>
      <c r="G10" s="360">
        <v>8611.0499999999993</v>
      </c>
      <c r="H10" s="360">
        <v>62213</v>
      </c>
    </row>
    <row r="11" spans="1:8" x14ac:dyDescent="0.2">
      <c r="A11" s="356">
        <v>20425599829</v>
      </c>
      <c r="B11" s="357" t="s">
        <v>158</v>
      </c>
      <c r="C11" s="358" t="str">
        <f>+'CARGAS SOCIALES'!E14</f>
        <v>CALIF PROD</v>
      </c>
      <c r="D11" s="359">
        <v>44710</v>
      </c>
      <c r="E11" s="396">
        <f>476.83*176*0.65</f>
        <v>54549.352000000006</v>
      </c>
      <c r="F11" s="360">
        <f>+'CARGAS SOCIALES'!Q14</f>
        <v>132744.72999999998</v>
      </c>
      <c r="G11" s="360">
        <v>9041.9500000000007</v>
      </c>
      <c r="H11" s="360">
        <v>65155</v>
      </c>
    </row>
    <row r="12" spans="1:8" x14ac:dyDescent="0.2">
      <c r="A12" s="356">
        <v>20418603136</v>
      </c>
      <c r="B12" s="357" t="s">
        <v>159</v>
      </c>
      <c r="C12" s="358" t="str">
        <f>+'CARGAS SOCIALES'!E15</f>
        <v>CALIF PROD</v>
      </c>
      <c r="D12" s="359">
        <v>44710</v>
      </c>
      <c r="E12" s="396">
        <f>476.83*176*0.65</f>
        <v>54549.352000000006</v>
      </c>
      <c r="F12" s="360">
        <f>+'CARGAS SOCIALES'!Q15</f>
        <v>133136.02999999997</v>
      </c>
      <c r="G12" s="360">
        <v>9041.9500000000007</v>
      </c>
      <c r="H12" s="360">
        <v>65155</v>
      </c>
    </row>
    <row r="13" spans="1:8" x14ac:dyDescent="0.2">
      <c r="A13" s="356">
        <v>20320535248</v>
      </c>
      <c r="B13" s="357" t="s">
        <v>160</v>
      </c>
      <c r="C13" s="358" t="str">
        <f>+'CARGAS SOCIALES'!E16</f>
        <v>CALIF PROD</v>
      </c>
      <c r="D13" s="359">
        <v>44710</v>
      </c>
      <c r="E13" s="396">
        <f>454.13*176</f>
        <v>79926.880000000005</v>
      </c>
      <c r="F13" s="360">
        <f>+'CARGAS SOCIALES'!Q16</f>
        <v>197242.42000000004</v>
      </c>
      <c r="G13" s="360">
        <v>12885.6</v>
      </c>
      <c r="H13" s="360">
        <v>95991</v>
      </c>
    </row>
    <row r="14" spans="1:8" x14ac:dyDescent="0.2">
      <c r="A14" s="356">
        <v>20403630382</v>
      </c>
      <c r="B14" s="357" t="s">
        <v>161</v>
      </c>
      <c r="C14" s="358" t="str">
        <f>+'CARGAS SOCIALES'!E17</f>
        <v>PEON PRACTICO PROD</v>
      </c>
      <c r="D14" s="359">
        <v>44710</v>
      </c>
      <c r="E14" s="396">
        <f>454.13*176*0.65</f>
        <v>51952.472000000002</v>
      </c>
      <c r="F14" s="360">
        <f>+'CARGAS SOCIALES'!Q17</f>
        <v>124112.79999999999</v>
      </c>
      <c r="G14" s="360">
        <v>8301.3000000000011</v>
      </c>
      <c r="H14" s="360">
        <v>58447</v>
      </c>
    </row>
    <row r="15" spans="1:8" x14ac:dyDescent="0.2">
      <c r="A15" s="356">
        <v>20410868874</v>
      </c>
      <c r="B15" s="357" t="s">
        <v>162</v>
      </c>
      <c r="C15" s="358" t="str">
        <f>+'CARGAS SOCIALES'!E18</f>
        <v>PEON PRACTICO PROD</v>
      </c>
      <c r="D15" s="359">
        <v>44710</v>
      </c>
      <c r="E15" s="396">
        <f>454.13*176*0.65</f>
        <v>51952.472000000002</v>
      </c>
      <c r="F15" s="360">
        <f>+'CARGAS SOCIALES'!Q18</f>
        <v>121304.15</v>
      </c>
      <c r="G15" s="360">
        <v>8611.0499999999993</v>
      </c>
      <c r="H15" s="360">
        <v>62213</v>
      </c>
    </row>
    <row r="16" spans="1:8" x14ac:dyDescent="0.2">
      <c r="A16" s="356">
        <v>23401204679</v>
      </c>
      <c r="B16" s="357" t="s">
        <v>163</v>
      </c>
      <c r="C16" s="358" t="str">
        <f>+'CARGAS SOCIALES'!E19</f>
        <v>PEON PRACTICO PROD</v>
      </c>
      <c r="D16" s="359">
        <v>44710</v>
      </c>
      <c r="E16" s="396">
        <f>432.5*176*0.65</f>
        <v>49478</v>
      </c>
      <c r="F16" s="360">
        <f>+'CARGAS SOCIALES'!Q19</f>
        <v>118093.85</v>
      </c>
      <c r="G16" s="360">
        <v>8201</v>
      </c>
      <c r="H16" s="360">
        <v>59411</v>
      </c>
    </row>
    <row r="17" spans="1:8" x14ac:dyDescent="0.2">
      <c r="A17" s="356">
        <v>20438407325</v>
      </c>
      <c r="B17" s="357" t="s">
        <v>164</v>
      </c>
      <c r="C17" s="358" t="str">
        <f>+'CARGAS SOCIALES'!E20</f>
        <v>SEMI CALIF PROD</v>
      </c>
      <c r="D17" s="359">
        <v>44710</v>
      </c>
      <c r="E17" s="396">
        <f>476.83*176*0.65</f>
        <v>54549.352000000006</v>
      </c>
      <c r="F17" s="360">
        <f>+'CARGAS SOCIALES'!Q20</f>
        <v>127346.63</v>
      </c>
      <c r="G17" s="360">
        <v>8505.9000000000015</v>
      </c>
      <c r="H17" s="360">
        <v>61073</v>
      </c>
    </row>
    <row r="18" spans="1:8" x14ac:dyDescent="0.2">
      <c r="A18" s="356">
        <v>23429243939</v>
      </c>
      <c r="B18" s="357" t="s">
        <v>166</v>
      </c>
      <c r="C18" s="358" t="str">
        <f>+'CARGAS SOCIALES'!E21</f>
        <v>SEMI CALIF PROD</v>
      </c>
      <c r="D18" s="359">
        <v>44710</v>
      </c>
      <c r="E18" s="396">
        <f>432.5*176*0.65</f>
        <v>49478</v>
      </c>
      <c r="F18" s="360">
        <f>+'CARGAS SOCIALES'!Q21</f>
        <v>126977.48000000001</v>
      </c>
      <c r="G18" s="360">
        <v>8201</v>
      </c>
      <c r="H18" s="360">
        <v>59411</v>
      </c>
    </row>
    <row r="19" spans="1:8" x14ac:dyDescent="0.2">
      <c r="A19" s="356">
        <v>20372389584</v>
      </c>
      <c r="B19" s="357" t="s">
        <v>167</v>
      </c>
      <c r="C19" s="358" t="str">
        <f>+'CARGAS SOCIALES'!E22</f>
        <v>CALIF PROD</v>
      </c>
      <c r="D19" s="359">
        <v>44710</v>
      </c>
      <c r="E19" s="396">
        <f>476.83*176*0.65</f>
        <v>54549.352000000006</v>
      </c>
      <c r="F19" s="360">
        <f>+'CARGAS SOCIALES'!Q22</f>
        <v>212174.37188679248</v>
      </c>
      <c r="G19" s="360">
        <v>9041.9500000000007</v>
      </c>
      <c r="H19" s="360">
        <v>70930</v>
      </c>
    </row>
    <row r="20" spans="1:8" x14ac:dyDescent="0.2">
      <c r="A20" s="356">
        <v>20413593442</v>
      </c>
      <c r="B20" s="357" t="s">
        <v>165</v>
      </c>
      <c r="C20" s="358" t="e">
        <f>+'CARGAS SOCIALES'!#REF!</f>
        <v>#REF!</v>
      </c>
      <c r="D20" s="359">
        <v>44710</v>
      </c>
      <c r="E20" s="396">
        <f>432.5*176*0.65</f>
        <v>49478</v>
      </c>
      <c r="F20" s="360" t="e">
        <f>+'CARGAS SOCIALES'!#REF!</f>
        <v>#REF!</v>
      </c>
      <c r="G20" s="360">
        <v>8201</v>
      </c>
      <c r="H20" s="360">
        <v>59411</v>
      </c>
    </row>
    <row r="21" spans="1:8" x14ac:dyDescent="0.2">
      <c r="A21" s="356" t="s">
        <v>206</v>
      </c>
      <c r="B21" s="357" t="s">
        <v>204</v>
      </c>
      <c r="C21" s="358" t="e">
        <f>+'CARGAS SOCIALES'!#REF!</f>
        <v>#REF!</v>
      </c>
      <c r="D21" s="359">
        <v>44791</v>
      </c>
      <c r="E21" s="396">
        <f>432.5*176*0.65</f>
        <v>49478</v>
      </c>
      <c r="F21" s="360" t="e">
        <f>+'CARGAS SOCIALES'!#REF!</f>
        <v>#REF!</v>
      </c>
      <c r="G21" s="360">
        <v>3422</v>
      </c>
      <c r="H21" s="360">
        <v>24648</v>
      </c>
    </row>
  </sheetData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9" sqref="C9"/>
    </sheetView>
  </sheetViews>
  <sheetFormatPr baseColWidth="10" defaultRowHeight="12.75" x14ac:dyDescent="0.2"/>
  <cols>
    <col min="1" max="1" width="22" style="355" customWidth="1"/>
    <col min="2" max="2" width="11.85546875" style="355" bestFit="1" customWidth="1"/>
    <col min="3" max="3" width="16.5703125" style="355" customWidth="1"/>
    <col min="4" max="16384" width="11.42578125" style="355"/>
  </cols>
  <sheetData>
    <row r="1" spans="1:3" ht="15.75" x14ac:dyDescent="0.2">
      <c r="A1" s="354" t="s">
        <v>1</v>
      </c>
      <c r="B1" s="354" t="s">
        <v>211</v>
      </c>
      <c r="C1" s="354" t="s">
        <v>212</v>
      </c>
    </row>
    <row r="2" spans="1:3" ht="15.75" x14ac:dyDescent="0.25">
      <c r="A2" s="397" t="s">
        <v>213</v>
      </c>
      <c r="B2" s="398">
        <v>44757</v>
      </c>
      <c r="C2" s="397" t="s">
        <v>214</v>
      </c>
    </row>
    <row r="3" spans="1:3" ht="15.75" x14ac:dyDescent="0.25">
      <c r="A3" s="397" t="s">
        <v>215</v>
      </c>
      <c r="B3" s="398">
        <v>44783</v>
      </c>
      <c r="C3" s="397" t="s">
        <v>216</v>
      </c>
    </row>
    <row r="4" spans="1:3" ht="15.75" x14ac:dyDescent="0.25">
      <c r="A4" s="397" t="s">
        <v>217</v>
      </c>
      <c r="B4" s="398">
        <v>44798</v>
      </c>
      <c r="C4" s="397" t="s">
        <v>216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NETOS</vt:lpstr>
      <vt:lpstr>NOMINA MES</vt:lpstr>
      <vt:lpstr>1º QUINCENA</vt:lpstr>
      <vt:lpstr>2º QUINCENA</vt:lpstr>
      <vt:lpstr>CARGAS SOCIALES</vt:lpstr>
      <vt:lpstr>VAC PEND</vt:lpstr>
      <vt:lpstr>VAC 2022</vt:lpstr>
      <vt:lpstr>1º SAC</vt:lpstr>
      <vt:lpstr>1º SAC (2)</vt:lpstr>
      <vt:lpstr>2º SAC</vt:lpstr>
      <vt:lpstr>SINDICATO</vt:lpstr>
      <vt:lpstr>Hoja3</vt:lpstr>
      <vt:lpstr>Hoja1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laboral</dc:creator>
  <cp:lastModifiedBy>Audiotoria</cp:lastModifiedBy>
  <cp:lastPrinted>2022-11-11T19:11:30Z</cp:lastPrinted>
  <dcterms:created xsi:type="dcterms:W3CDTF">2014-04-07T17:45:19Z</dcterms:created>
  <dcterms:modified xsi:type="dcterms:W3CDTF">2022-12-29T21:06:33Z</dcterms:modified>
</cp:coreProperties>
</file>