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0" windowWidth="14880" windowHeight="75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E27" i="7"/>
  <c r="F27" i="7" s="1"/>
  <c r="E26" i="7"/>
  <c r="E25" i="7"/>
  <c r="E24" i="7"/>
  <c r="F24" i="7" s="1"/>
  <c r="G24" i="7" s="1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E13" i="7"/>
  <c r="F13" i="7" s="1"/>
  <c r="G13" i="7" s="1"/>
  <c r="E12" i="7"/>
  <c r="F12" i="7" s="1"/>
  <c r="E11" i="7"/>
  <c r="F11" i="7" s="1"/>
  <c r="E10" i="7"/>
  <c r="E9" i="7"/>
  <c r="F9" i="7" s="1"/>
  <c r="C7" i="7"/>
  <c r="F26" i="7"/>
  <c r="G26" i="7" s="1"/>
  <c r="F28" i="7"/>
  <c r="G28" i="7" s="1"/>
  <c r="F25" i="7"/>
  <c r="G27" i="7" l="1"/>
  <c r="F22" i="7"/>
  <c r="G22" i="7" s="1"/>
  <c r="F7" i="7"/>
  <c r="G7" i="7" s="1"/>
  <c r="G9" i="7"/>
  <c r="G25" i="7"/>
  <c r="F10" i="7"/>
  <c r="G10" i="7" s="1"/>
  <c r="F14" i="7"/>
  <c r="G14" i="7" s="1"/>
  <c r="F19" i="7"/>
  <c r="G19" i="7" s="1"/>
  <c r="F21" i="7"/>
  <c r="G21" i="7" s="1"/>
  <c r="F23" i="7"/>
  <c r="G23" i="7" s="1"/>
  <c r="G12" i="7"/>
  <c r="G16" i="7"/>
  <c r="G20" i="7"/>
  <c r="G17" i="7"/>
  <c r="G11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49" i="6"/>
  <c r="H123" i="6"/>
  <c r="H97" i="6"/>
  <c r="H71" i="6"/>
  <c r="H45" i="6"/>
  <c r="I45" i="6" s="1"/>
  <c r="G29" i="7"/>
  <c r="H136" i="6"/>
  <c r="H110" i="6"/>
  <c r="I110" i="6" s="1"/>
  <c r="H84" i="6"/>
  <c r="I84" i="6" s="1"/>
  <c r="H58" i="6"/>
  <c r="I58" i="6" s="1"/>
  <c r="H32" i="6"/>
  <c r="I32" i="6" s="1"/>
  <c r="F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500" i="2" l="1"/>
  <c r="J124" i="2"/>
  <c r="J1466" i="2"/>
  <c r="BA1209" i="1"/>
  <c r="BA1208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808" i="1"/>
  <c r="BA681" i="1"/>
  <c r="BA350" i="1"/>
  <c r="BA349" i="1"/>
  <c r="BA342" i="1"/>
  <c r="BA3659" i="1"/>
  <c r="BA3658" i="1"/>
  <c r="BA3655" i="1"/>
  <c r="BA3654" i="1"/>
  <c r="BA1217" i="1"/>
  <c r="BA1216" i="1"/>
  <c r="BA1201" i="1"/>
  <c r="BA120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3" i="1" l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" i="2" l="1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<sst xmlns="http://schemas.openxmlformats.org/spreadsheetml/2006/main" count="380" uniqueCount="96">
  <si>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</si>
  <si>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</si>
  <si>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</si>
  <si>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</si>
  <si>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</si>
  <si>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</si>
  <si>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</si>
  <si>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</si>
  <si>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</si>
  <si>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</si>
  <si>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</si>
  <si>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</si>
  <si>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</si>
  <si>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</si>
  <si>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</si>
  <si>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</si>
  <si>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</si>
  <si>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</si>
  <si>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</si>
  <si>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</si>
  <si>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</si>
  <si>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</si>
  <si>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</si>
  <si>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</si>
  <si>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</si>
  <si>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</si>
  <si>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</si>
  <si>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</si>
  <si>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</si>
  <si>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</si>
  <si>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</si>
  <si>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</si>
  <si>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</si>
  <si>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</si>
  <si>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</si>
  <si>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</si>
  <si>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</si>
  <si>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</si>
  <si>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</si>
  <si>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</si>
  <si>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</si>
  <si>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</si>
  <si>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</si>
  <si>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</si>
  <si>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</si>
  <si>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</si>
  <si>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</si>
  <si>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</si>
  <si>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</si>
  <si>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</si>
  <si>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</si>
  <si>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</si>
  <si>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</si>
  <si>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</si>
  <si>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</si>
  <si>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</si>
  <si>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</si>
  <si>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</si>
  <si>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</si>
  <si>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</si>
  <si>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</si>
  <si>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</si>
  <si>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</si>
  <si>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</si>
  <si>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</si>
  <si>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</si>
  <si>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</si>
  <si>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</si>
  <si>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</si>
  <si>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</si>
  <si>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</si>
  <si>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</si>
  <si>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</si>
  <si>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</si>
  <si>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</si>
  <si>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O428759</t>
  </si>
  <si>
    <t>DANEJ S.A.,</t>
  </si>
  <si>
    <t>30-71580174-0</t>
  </si>
  <si>
    <t>33000501-10500211485021</t>
  </si>
  <si>
    <t>Bonificación</t>
  </si>
  <si>
    <t>Detalle de Obligaciones Regularizadas - Obligaciones Impositivas</t>
  </si>
  <si>
    <t>Bp-Acciones O Participaciones</t>
  </si>
  <si>
    <t>Intereses Resarcitorios</t>
  </si>
  <si>
    <t>Pago contado</t>
  </si>
  <si>
    <t>2017/0</t>
  </si>
  <si>
    <t>Pagado</t>
  </si>
  <si>
    <t>-</t>
  </si>
  <si>
    <t>se tomo en 05/21</t>
  </si>
  <si>
    <t>Q989505</t>
  </si>
  <si>
    <t>DANEJ S.A.</t>
  </si>
  <si>
    <t>$ 259.822,93</t>
  </si>
  <si>
    <t>$ 0,00</t>
  </si>
  <si>
    <t>Ganancias Sociedades</t>
  </si>
  <si>
    <t>Pago a cuenta</t>
  </si>
  <si>
    <t>2022/0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</si>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</sst>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1"/>
      <color rgb="FFFF0000"/>
      <name val="Calibri"/>
      <family val="2"/>
      <scheme val="minor"/>
    </font>
    <font>
      <sz val="12"/>
      <color rgb="FF333333"/>
      <name val="Inherit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8" borderId="2" xfId="0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4" fillId="0" borderId="0" xfId="0" applyFont="1" applyProtection="1">
      <protection locked="0"/>
    </xf>
    <xf numFmtId="0" fontId="12" fillId="19" borderId="2" xfId="0" applyFont="1" applyFill="1" applyBorder="1" applyAlignment="1">
      <alignment vertical="top" wrapText="1"/>
    </xf>
    <xf numFmtId="0" fontId="8" fillId="19" borderId="2" xfId="0" applyFont="1" applyFill="1" applyBorder="1" applyAlignment="1">
      <alignment vertical="top" wrapText="1"/>
    </xf>
    <xf numFmtId="0" fontId="12" fillId="19" borderId="2" xfId="0" applyFont="1" applyFill="1" applyBorder="1" applyAlignment="1">
      <alignment horizontal="right" vertical="top" wrapText="1"/>
    </xf>
    <xf numFmtId="0" fontId="8" fillId="19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5" fillId="0" borderId="0" xfId="0" applyFont="1" applyAlignment="1">
      <alignment horizontal="left" vertical="center" wrapText="1" indent="1"/>
    </xf>
    <xf numFmtId="4" fontId="12" fillId="19" borderId="2" xfId="0" applyNumberFormat="1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2" fillId="18" borderId="2" xfId="0" applyFont="1" applyFill="1" applyBorder="1" applyAlignment="1" applyProtection="1">
      <alignment horizontal="center" vertical="top" wrapText="1"/>
    </xf>
    <xf numFmtId="4" fontId="12" fillId="18" borderId="2" xfId="0" applyNumberFormat="1" applyFont="1" applyFill="1" applyBorder="1" applyAlignment="1" applyProtection="1">
      <alignment horizontal="right" vertical="top" wrapText="1"/>
    </xf>
    <xf numFmtId="0" fontId="12" fillId="18" borderId="2" xfId="0" applyFont="1" applyFill="1" applyBorder="1" applyAlignment="1" applyProtection="1">
      <alignment horizontal="right" vertical="top" wrapText="1"/>
    </xf>
    <xf numFmtId="14" fontId="12" fillId="18" borderId="2" xfId="0" applyNumberFormat="1" applyFont="1" applyFill="1" applyBorder="1" applyAlignment="1" applyProtection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</xf>
    <xf numFmtId="0" fontId="12" fillId="20" borderId="2" xfId="0" applyFont="1" applyFill="1" applyBorder="1" applyAlignment="1" applyProtection="1">
      <alignment horizontal="right" vertical="top" wrapText="1"/>
    </xf>
    <xf numFmtId="14" fontId="12" fillId="20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9" borderId="1" xfId="0" applyFont="1" applyFill="1" applyBorder="1" applyAlignment="1">
      <alignment horizontal="center" vertical="center" wrapText="1"/>
    </xf>
    <xf numFmtId="0" fontId="8" fillId="19" borderId="12" xfId="0" applyFont="1" applyFill="1" applyBorder="1" applyAlignment="1">
      <alignment horizontal="center" vertical="center" wrapText="1"/>
    </xf>
    <xf numFmtId="0" fontId="8" fillId="19" borderId="13" xfId="0" applyFont="1" applyFill="1" applyBorder="1" applyAlignment="1">
      <alignment horizontal="center" vertical="center" wrapText="1"/>
    </xf>
    <xf numFmtId="0" fontId="8" fillId="19" borderId="14" xfId="0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5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10" fontId="12" fillId="19" borderId="1" xfId="0" applyNumberFormat="1" applyFont="1" applyFill="1" applyBorder="1" applyAlignment="1">
      <alignment horizontal="center" vertical="center" wrapText="1"/>
    </xf>
    <xf numFmtId="10" fontId="12" fillId="19" borderId="15" xfId="0" applyNumberFormat="1" applyFont="1" applyFill="1" applyBorder="1" applyAlignment="1">
      <alignment horizontal="center" vertical="center" wrapText="1"/>
    </xf>
    <xf numFmtId="10" fontId="12" fillId="19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20" borderId="1" xfId="0" applyFont="1" applyFill="1" applyBorder="1" applyAlignment="1" applyProtection="1">
      <alignment horizontal="center" vertical="center" wrapText="1"/>
    </xf>
    <xf numFmtId="0" fontId="12" fillId="20" borderId="12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20" borderId="12" xfId="0" applyNumberFormat="1" applyFont="1" applyFill="1" applyBorder="1" applyAlignment="1" applyProtection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2" activePane="bottomLeft" state="frozen"/>
      <selection pane="bottomLeft" activeCell="E34" sqref="E34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86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8" t="s">
        <v>31</v>
      </c>
      <c r="C2" s="120" t="s">
        <v>60</v>
      </c>
      <c r="D2" s="120" t="s">
        <v>61</v>
      </c>
      <c r="E2" s="118" t="s">
        <v>39</v>
      </c>
      <c r="F2" s="118" t="s">
        <v>58</v>
      </c>
      <c r="G2" s="118" t="s">
        <v>62</v>
      </c>
      <c r="H2" s="122" t="s">
        <v>34</v>
      </c>
      <c r="I2" s="116" t="s">
        <v>32</v>
      </c>
      <c r="J2" s="124" t="s">
        <v>59</v>
      </c>
      <c r="L2" s="112" t="s">
        <v>40</v>
      </c>
      <c r="M2" s="114">
        <v>0.12</v>
      </c>
      <c r="N2" s="9" t="s">
        <v>43</v>
      </c>
    </row>
    <row r="3" spans="2:19" ht="15.75" thickBot="1">
      <c r="B3" s="119"/>
      <c r="C3" s="121"/>
      <c r="D3" s="121"/>
      <c r="E3" s="119"/>
      <c r="F3" s="119"/>
      <c r="G3" s="119"/>
      <c r="H3" s="123"/>
      <c r="I3" s="117"/>
      <c r="J3" s="125"/>
      <c r="L3" s="113"/>
      <c r="M3" s="115"/>
      <c r="N3" s="10">
        <f>AVERAGEIF(O:O,P1,O:O)</f>
        <v>0.10072942121289617</v>
      </c>
    </row>
    <row r="4" spans="2:19">
      <c r="B4" s="32">
        <v>44105</v>
      </c>
      <c r="C4" s="35">
        <v>19257.03</v>
      </c>
      <c r="D4" s="35">
        <v>2156.66</v>
      </c>
      <c r="E4" s="6">
        <v>44147</v>
      </c>
      <c r="F4" s="5">
        <v>19257.03</v>
      </c>
      <c r="G4" s="5"/>
      <c r="H4" s="87">
        <f>IFERROR(IF(DAY(E4)&lt;21,EDATE(E4,-1)-DAY(E4)+1,(EDATE(E4,0)-DAY(E4)+1)),"")</f>
        <v>44105</v>
      </c>
      <c r="I4" s="37">
        <f>IFERROR((D4/C4)*F4,"")</f>
        <v>2156.66</v>
      </c>
      <c r="J4" s="38">
        <f>C4-F4-G4</f>
        <v>0</v>
      </c>
      <c r="K4" s="3"/>
      <c r="L4" s="3"/>
      <c r="M4" s="3"/>
      <c r="N4" s="28"/>
      <c r="O4" s="13">
        <f>IFERROR(+D4/C4,0)</f>
        <v>0.11199338631138862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2156.66</v>
      </c>
    </row>
    <row r="5" spans="2:19">
      <c r="B5" s="32">
        <v>44136</v>
      </c>
      <c r="C5" s="35">
        <v>20258.189999999999</v>
      </c>
      <c r="D5" s="36">
        <v>2039.2</v>
      </c>
      <c r="E5" s="8">
        <v>44188</v>
      </c>
      <c r="F5" s="5">
        <v>20258.189999999999</v>
      </c>
      <c r="G5" s="7"/>
      <c r="H5" s="87">
        <f t="shared" ref="H5:H42" si="2">IFERROR(IF(DAY(E5)&lt;21,EDATE(E5,-1)-DAY(E5)+1,(EDATE(E5,0)-DAY(E5)+1)),"")</f>
        <v>44166</v>
      </c>
      <c r="I5" s="37">
        <f t="shared" ref="I5:I42" si="3">IFERROR((D5/C5)*F5,"")</f>
        <v>2039.2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0.10066052297860767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2039.2</v>
      </c>
    </row>
    <row r="6" spans="2:19">
      <c r="B6" s="32">
        <v>44166</v>
      </c>
      <c r="C6" s="35">
        <v>47528.77</v>
      </c>
      <c r="D6" s="36">
        <v>1213.03</v>
      </c>
      <c r="E6" s="8">
        <v>44221</v>
      </c>
      <c r="F6" s="5">
        <v>47528.77</v>
      </c>
      <c r="G6" s="7"/>
      <c r="H6" s="87">
        <f t="shared" si="2"/>
        <v>44197</v>
      </c>
      <c r="I6" s="37">
        <f t="shared" si="3"/>
        <v>1213.03</v>
      </c>
      <c r="J6" s="38">
        <f t="shared" si="4"/>
        <v>0</v>
      </c>
      <c r="K6" s="3"/>
      <c r="L6" s="3"/>
      <c r="M6" s="3"/>
      <c r="N6" s="28"/>
      <c r="O6" s="13">
        <f t="shared" si="5"/>
        <v>2.5522015402460449E-2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1213.03</v>
      </c>
    </row>
    <row r="7" spans="2:19">
      <c r="B7" s="32">
        <v>44197</v>
      </c>
      <c r="C7" s="35">
        <v>25395.4</v>
      </c>
      <c r="D7" s="36">
        <v>2580.67</v>
      </c>
      <c r="E7" s="8">
        <v>44245</v>
      </c>
      <c r="F7" s="5">
        <v>25395.4</v>
      </c>
      <c r="G7" s="7"/>
      <c r="H7" s="87">
        <f t="shared" si="2"/>
        <v>44197</v>
      </c>
      <c r="I7" s="37">
        <f t="shared" si="3"/>
        <v>2580.67</v>
      </c>
      <c r="J7" s="38">
        <f t="shared" si="4"/>
        <v>0</v>
      </c>
      <c r="K7" s="3"/>
      <c r="L7" s="3"/>
      <c r="M7" s="3"/>
      <c r="N7" s="28"/>
      <c r="O7" s="13">
        <f t="shared" si="5"/>
        <v>0.10161958464918844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2580.67</v>
      </c>
    </row>
    <row r="8" spans="2:19">
      <c r="B8" s="32">
        <v>44228</v>
      </c>
      <c r="C8" s="35">
        <v>24540.48</v>
      </c>
      <c r="D8" s="36">
        <v>2488.54</v>
      </c>
      <c r="E8" s="8">
        <v>44274</v>
      </c>
      <c r="F8" s="5">
        <v>24540.48</v>
      </c>
      <c r="G8" s="7"/>
      <c r="H8" s="87">
        <f t="shared" si="2"/>
        <v>44228</v>
      </c>
      <c r="I8" s="37">
        <f t="shared" si="3"/>
        <v>2488.54</v>
      </c>
      <c r="J8" s="38">
        <f t="shared" si="4"/>
        <v>0</v>
      </c>
      <c r="K8" s="3"/>
      <c r="L8" s="3"/>
      <c r="M8" s="3"/>
      <c r="N8" s="28"/>
      <c r="O8" s="13">
        <f t="shared" si="5"/>
        <v>0.10140551448056435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2488.54</v>
      </c>
    </row>
    <row r="9" spans="2:19">
      <c r="B9" s="32">
        <v>44256</v>
      </c>
      <c r="C9" s="35">
        <v>20675.32</v>
      </c>
      <c r="D9" s="36">
        <v>2086.6799999999998</v>
      </c>
      <c r="E9" s="8">
        <v>44315</v>
      </c>
      <c r="F9" s="5">
        <v>20675.32</v>
      </c>
      <c r="G9" s="7"/>
      <c r="H9" s="87">
        <f t="shared" si="2"/>
        <v>44287</v>
      </c>
      <c r="I9" s="37">
        <f t="shared" si="3"/>
        <v>2086.6799999999998</v>
      </c>
      <c r="J9" s="38">
        <f t="shared" si="4"/>
        <v>0</v>
      </c>
      <c r="K9" s="3"/>
      <c r="L9" s="3"/>
      <c r="M9" s="3"/>
      <c r="N9" s="28"/>
      <c r="O9" s="13">
        <f t="shared" si="5"/>
        <v>0.10092612835012953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2086.6799999999998</v>
      </c>
    </row>
    <row r="10" spans="2:19">
      <c r="B10" s="32">
        <v>44287</v>
      </c>
      <c r="C10" s="35">
        <v>23605.63</v>
      </c>
      <c r="D10" s="36">
        <v>2391.56</v>
      </c>
      <c r="E10" s="8">
        <v>44336</v>
      </c>
      <c r="F10" s="5">
        <v>23605.63</v>
      </c>
      <c r="G10" s="7"/>
      <c r="H10" s="87">
        <f t="shared" si="2"/>
        <v>44287</v>
      </c>
      <c r="I10" s="37">
        <f t="shared" si="3"/>
        <v>2391.56</v>
      </c>
      <c r="J10" s="38">
        <f t="shared" si="4"/>
        <v>0</v>
      </c>
      <c r="K10" s="92" t="s">
        <v>87</v>
      </c>
      <c r="L10" s="3"/>
      <c r="M10" s="3"/>
      <c r="N10" s="28"/>
      <c r="O10" s="13">
        <f t="shared" si="5"/>
        <v>0.10131311894662416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2391.56</v>
      </c>
    </row>
    <row r="11" spans="2:19">
      <c r="B11" s="32">
        <v>44317</v>
      </c>
      <c r="C11" s="35">
        <v>24203.599999999999</v>
      </c>
      <c r="D11" s="36">
        <v>2453.08</v>
      </c>
      <c r="E11" s="8">
        <v>44390</v>
      </c>
      <c r="F11" s="5">
        <v>24203.599999999999</v>
      </c>
      <c r="G11" s="7"/>
      <c r="H11" s="87">
        <f t="shared" si="2"/>
        <v>44348</v>
      </c>
      <c r="I11" s="37">
        <f t="shared" si="3"/>
        <v>2453.08</v>
      </c>
      <c r="J11" s="38">
        <f t="shared" si="4"/>
        <v>0</v>
      </c>
      <c r="K11" s="3"/>
      <c r="L11" s="3"/>
      <c r="M11" s="3"/>
      <c r="N11" s="28"/>
      <c r="O11" s="13">
        <f t="shared" si="5"/>
        <v>0.10135186501181642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2453.08</v>
      </c>
    </row>
    <row r="12" spans="2:19">
      <c r="B12" s="32">
        <v>44348</v>
      </c>
      <c r="C12" s="35">
        <v>38417.800000000003</v>
      </c>
      <c r="D12" s="36">
        <v>3917.24</v>
      </c>
      <c r="E12" s="8">
        <v>44410</v>
      </c>
      <c r="F12" s="5">
        <v>38417.800000000003</v>
      </c>
      <c r="G12" s="7"/>
      <c r="H12" s="87">
        <f t="shared" si="2"/>
        <v>44378</v>
      </c>
      <c r="I12" s="37">
        <f t="shared" si="3"/>
        <v>3917.24</v>
      </c>
      <c r="J12" s="38">
        <f t="shared" si="4"/>
        <v>0</v>
      </c>
      <c r="K12" s="3"/>
      <c r="L12" s="3"/>
      <c r="M12" s="3"/>
      <c r="N12" s="28"/>
      <c r="O12" s="13">
        <f t="shared" si="5"/>
        <v>0.10196419368105408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3917.24</v>
      </c>
    </row>
    <row r="13" spans="2:19">
      <c r="B13" s="32">
        <v>44378</v>
      </c>
      <c r="C13" s="35">
        <v>28804.2</v>
      </c>
      <c r="D13" s="36">
        <v>2940.21</v>
      </c>
      <c r="E13" s="8">
        <v>44431</v>
      </c>
      <c r="F13" s="5">
        <v>28804.2</v>
      </c>
      <c r="G13" s="7"/>
      <c r="H13" s="87">
        <f t="shared" si="2"/>
        <v>44409</v>
      </c>
      <c r="I13" s="37">
        <f t="shared" si="3"/>
        <v>2940.21</v>
      </c>
      <c r="J13" s="38">
        <f t="shared" si="4"/>
        <v>0</v>
      </c>
      <c r="K13" s="3"/>
      <c r="L13" s="3"/>
      <c r="M13" s="3"/>
      <c r="N13" s="28"/>
      <c r="O13" s="13">
        <f t="shared" si="5"/>
        <v>0.10207573895473576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2940.21</v>
      </c>
    </row>
    <row r="14" spans="2:19">
      <c r="B14" s="32">
        <v>44409</v>
      </c>
      <c r="C14" s="35">
        <v>27116.74</v>
      </c>
      <c r="D14" s="36">
        <v>2766.14</v>
      </c>
      <c r="E14" s="8">
        <v>44460</v>
      </c>
      <c r="F14" s="5">
        <v>27116.74</v>
      </c>
      <c r="G14" s="7"/>
      <c r="H14" s="87">
        <f t="shared" si="2"/>
        <v>44440</v>
      </c>
      <c r="I14" s="37">
        <f t="shared" si="3"/>
        <v>2766.14</v>
      </c>
      <c r="J14" s="38">
        <f t="shared" si="4"/>
        <v>0</v>
      </c>
      <c r="K14" s="3"/>
      <c r="L14" s="3"/>
      <c r="M14" s="3"/>
      <c r="N14" s="28"/>
      <c r="O14" s="13">
        <f t="shared" si="5"/>
        <v>0.10200857477705652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2766.14</v>
      </c>
    </row>
    <row r="15" spans="2:19">
      <c r="B15" s="32">
        <v>44440</v>
      </c>
      <c r="C15" s="35">
        <v>27295.35</v>
      </c>
      <c r="D15" s="36">
        <v>2919.8</v>
      </c>
      <c r="E15" s="8">
        <v>44487</v>
      </c>
      <c r="F15" s="5">
        <v>27295.35</v>
      </c>
      <c r="G15" s="7"/>
      <c r="H15" s="87">
        <f t="shared" si="2"/>
        <v>44440</v>
      </c>
      <c r="I15" s="37">
        <f t="shared" si="3"/>
        <v>2919.8</v>
      </c>
      <c r="J15" s="38">
        <f t="shared" si="4"/>
        <v>0</v>
      </c>
      <c r="K15" s="3"/>
      <c r="L15" s="3"/>
      <c r="M15" s="3"/>
      <c r="N15" s="28"/>
      <c r="O15" s="13">
        <f t="shared" si="5"/>
        <v>0.10697060121962167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2919.8</v>
      </c>
    </row>
    <row r="16" spans="2:19">
      <c r="B16" s="32">
        <v>44470</v>
      </c>
      <c r="C16" s="35">
        <v>29374.2</v>
      </c>
      <c r="D16" s="36">
        <v>2999.49</v>
      </c>
      <c r="E16" s="8">
        <v>44526</v>
      </c>
      <c r="F16" s="5">
        <v>29374.2</v>
      </c>
      <c r="G16" s="7"/>
      <c r="H16" s="87">
        <f t="shared" si="2"/>
        <v>44501</v>
      </c>
      <c r="I16" s="37">
        <f t="shared" si="3"/>
        <v>2999.49</v>
      </c>
      <c r="J16" s="38">
        <f t="shared" si="4"/>
        <v>0</v>
      </c>
      <c r="K16" s="3"/>
      <c r="L16" s="3"/>
      <c r="M16" s="3"/>
      <c r="N16" s="28"/>
      <c r="O16" s="13">
        <f t="shared" si="5"/>
        <v>0.10211307882427435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2999.49</v>
      </c>
    </row>
    <row r="17" spans="2:19">
      <c r="B17" s="32">
        <v>44501</v>
      </c>
      <c r="C17" s="35">
        <v>33805.65</v>
      </c>
      <c r="D17" s="36">
        <v>3509.94</v>
      </c>
      <c r="E17" s="8">
        <v>44539</v>
      </c>
      <c r="F17" s="5">
        <v>33805.65</v>
      </c>
      <c r="G17" s="7"/>
      <c r="H17" s="87">
        <f t="shared" si="2"/>
        <v>44501</v>
      </c>
      <c r="I17" s="37">
        <f t="shared" si="3"/>
        <v>3509.94</v>
      </c>
      <c r="J17" s="38">
        <f t="shared" si="4"/>
        <v>0</v>
      </c>
      <c r="K17" s="3"/>
      <c r="L17" s="3"/>
      <c r="M17" s="3"/>
      <c r="N17" s="28"/>
      <c r="O17" s="13">
        <f t="shared" si="5"/>
        <v>0.10382702299763501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3509.94</v>
      </c>
    </row>
    <row r="18" spans="2:19">
      <c r="B18" s="32">
        <v>44531</v>
      </c>
      <c r="C18" s="35">
        <v>82351.460000000006</v>
      </c>
      <c r="D18" s="36">
        <v>8535.43</v>
      </c>
      <c r="E18" s="8">
        <v>44595</v>
      </c>
      <c r="F18" s="5">
        <v>82351.460000000006</v>
      </c>
      <c r="G18" s="7"/>
      <c r="H18" s="87">
        <f t="shared" si="2"/>
        <v>44562</v>
      </c>
      <c r="I18" s="37">
        <f t="shared" si="3"/>
        <v>8535.43</v>
      </c>
      <c r="J18" s="38">
        <f t="shared" si="4"/>
        <v>0</v>
      </c>
      <c r="K18" s="3"/>
      <c r="L18" s="3"/>
      <c r="M18" s="3"/>
      <c r="N18" s="28"/>
      <c r="O18" s="13">
        <f t="shared" si="5"/>
        <v>0.10364637129687804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8535.43</v>
      </c>
    </row>
    <row r="19" spans="2:19">
      <c r="B19" s="32">
        <v>44562</v>
      </c>
      <c r="C19" s="35">
        <v>40653.15</v>
      </c>
      <c r="D19" s="36">
        <v>4192.45</v>
      </c>
      <c r="E19" s="8">
        <v>44622</v>
      </c>
      <c r="F19" s="5">
        <v>40653.15</v>
      </c>
      <c r="G19" s="7"/>
      <c r="H19" s="87">
        <f t="shared" si="2"/>
        <v>44593</v>
      </c>
      <c r="I19" s="37">
        <f t="shared" si="3"/>
        <v>4192.45</v>
      </c>
      <c r="J19" s="38">
        <f t="shared" si="4"/>
        <v>0</v>
      </c>
      <c r="K19" s="3"/>
      <c r="L19" s="3"/>
      <c r="M19" s="3"/>
      <c r="N19" s="28"/>
      <c r="O19" s="13">
        <f t="shared" si="5"/>
        <v>0.10312730993785228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4192.45</v>
      </c>
    </row>
    <row r="20" spans="2:19">
      <c r="B20" s="32">
        <v>44593</v>
      </c>
      <c r="C20" s="35">
        <v>59070.98</v>
      </c>
      <c r="D20" s="36">
        <v>6078.44</v>
      </c>
      <c r="E20" s="8">
        <v>44648</v>
      </c>
      <c r="F20" s="5">
        <v>59070.98</v>
      </c>
      <c r="G20" s="7"/>
      <c r="H20" s="87">
        <f t="shared" si="2"/>
        <v>44621</v>
      </c>
      <c r="I20" s="37">
        <f t="shared" si="3"/>
        <v>6078.44</v>
      </c>
      <c r="J20" s="38">
        <f t="shared" si="4"/>
        <v>0</v>
      </c>
      <c r="K20" s="3"/>
      <c r="L20" s="3"/>
      <c r="M20" s="3"/>
      <c r="N20" s="28"/>
      <c r="O20" s="13">
        <f t="shared" si="5"/>
        <v>0.10290061211105689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6078.44</v>
      </c>
    </row>
    <row r="21" spans="2:19">
      <c r="B21" s="32">
        <v>44621</v>
      </c>
      <c r="C21" s="35">
        <v>72454.490000000005</v>
      </c>
      <c r="D21" s="36">
        <v>7468.7</v>
      </c>
      <c r="E21" s="8">
        <v>44680</v>
      </c>
      <c r="F21" s="5">
        <v>72454.490000000005</v>
      </c>
      <c r="G21" s="7"/>
      <c r="H21" s="87">
        <f t="shared" si="2"/>
        <v>44652</v>
      </c>
      <c r="I21" s="37">
        <f t="shared" si="3"/>
        <v>7468.7</v>
      </c>
      <c r="J21" s="38">
        <f t="shared" si="4"/>
        <v>0</v>
      </c>
      <c r="K21" s="3"/>
      <c r="L21" s="3"/>
      <c r="M21" s="3"/>
      <c r="N21" s="28"/>
      <c r="O21" s="13">
        <f t="shared" si="5"/>
        <v>0.10308125831815253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7468.7</v>
      </c>
    </row>
    <row r="22" spans="2:19">
      <c r="B22" s="32">
        <v>44652</v>
      </c>
      <c r="C22" s="35">
        <v>68209.440000000002</v>
      </c>
      <c r="D22" s="36">
        <v>7033.96</v>
      </c>
      <c r="E22" s="8">
        <v>44712</v>
      </c>
      <c r="F22" s="5">
        <v>68209.440000000002</v>
      </c>
      <c r="G22" s="7"/>
      <c r="H22" s="87">
        <f t="shared" si="2"/>
        <v>44682</v>
      </c>
      <c r="I22" s="37">
        <f t="shared" si="3"/>
        <v>7033.96</v>
      </c>
      <c r="J22" s="38">
        <f t="shared" si="4"/>
        <v>0</v>
      </c>
      <c r="K22" s="3"/>
      <c r="L22" s="3"/>
      <c r="M22" s="3"/>
      <c r="N22" s="28"/>
      <c r="O22" s="13">
        <f t="shared" si="5"/>
        <v>0.10312296948926718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7033.96</v>
      </c>
    </row>
    <row r="23" spans="2:19">
      <c r="B23" s="32">
        <v>44682</v>
      </c>
      <c r="C23" s="35">
        <v>71681.149999999994</v>
      </c>
      <c r="D23" s="36">
        <v>7407.96</v>
      </c>
      <c r="E23" s="8">
        <v>44734</v>
      </c>
      <c r="F23" s="5">
        <v>71681.149999999994</v>
      </c>
      <c r="G23" s="7"/>
      <c r="H23" s="87">
        <f t="shared" si="2"/>
        <v>44713</v>
      </c>
      <c r="I23" s="37">
        <f t="shared" si="3"/>
        <v>7407.96</v>
      </c>
      <c r="J23" s="38">
        <f t="shared" si="4"/>
        <v>0</v>
      </c>
      <c r="K23" s="3"/>
      <c r="L23" s="3"/>
      <c r="M23" s="3"/>
      <c r="N23" s="28"/>
      <c r="O23" s="13">
        <f t="shared" si="5"/>
        <v>0.10334599821570944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7407.96</v>
      </c>
    </row>
    <row r="24" spans="2:19">
      <c r="B24" s="32">
        <v>44713</v>
      </c>
      <c r="C24" s="35">
        <v>100156.09</v>
      </c>
      <c r="D24" s="36">
        <v>10367.34</v>
      </c>
      <c r="E24" s="8">
        <v>44763</v>
      </c>
      <c r="F24" s="5">
        <v>100156.09</v>
      </c>
      <c r="G24" s="7"/>
      <c r="H24" s="87">
        <f t="shared" si="2"/>
        <v>44743</v>
      </c>
      <c r="I24" s="37">
        <f t="shared" si="3"/>
        <v>10367.34</v>
      </c>
      <c r="J24" s="38">
        <f t="shared" si="4"/>
        <v>0</v>
      </c>
      <c r="K24" s="3"/>
      <c r="L24" s="3"/>
      <c r="M24" s="3"/>
      <c r="N24" s="28"/>
      <c r="O24" s="13">
        <f t="shared" si="5"/>
        <v>0.10351182838707063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10367.34</v>
      </c>
    </row>
    <row r="25" spans="2:19">
      <c r="B25" s="32">
        <v>44743</v>
      </c>
      <c r="C25" s="35">
        <v>44689.31</v>
      </c>
      <c r="D25" s="36">
        <v>4609.47</v>
      </c>
      <c r="E25" s="8">
        <v>44781</v>
      </c>
      <c r="F25" s="5">
        <v>44689.31</v>
      </c>
      <c r="G25" s="7"/>
      <c r="H25" s="87">
        <f t="shared" si="2"/>
        <v>44743</v>
      </c>
      <c r="I25" s="37">
        <f t="shared" si="3"/>
        <v>4609.47</v>
      </c>
      <c r="J25" s="38">
        <f t="shared" si="4"/>
        <v>0</v>
      </c>
      <c r="K25" s="3"/>
      <c r="L25" s="3"/>
      <c r="M25" s="3"/>
      <c r="N25" s="28"/>
      <c r="O25" s="13">
        <f t="shared" si="5"/>
        <v>0.10314480129588038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4609.47</v>
      </c>
    </row>
    <row r="26" spans="2:19">
      <c r="B26" s="32">
        <v>44774</v>
      </c>
      <c r="C26" s="35">
        <v>44840.28</v>
      </c>
      <c r="D26" s="36">
        <v>4625.3659496000009</v>
      </c>
      <c r="E26" s="8">
        <v>44817</v>
      </c>
      <c r="F26" s="5">
        <v>44840.28</v>
      </c>
      <c r="G26" s="7"/>
      <c r="H26" s="87">
        <f t="shared" si="2"/>
        <v>44774</v>
      </c>
      <c r="I26" s="37">
        <f t="shared" si="3"/>
        <v>4625.3659496000009</v>
      </c>
      <c r="J26" s="38">
        <f t="shared" si="4"/>
        <v>0</v>
      </c>
      <c r="K26" s="3"/>
      <c r="L26" s="3"/>
      <c r="M26" s="3"/>
      <c r="N26" s="28"/>
      <c r="O26" s="13">
        <f t="shared" si="5"/>
        <v>0.10315203093290232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4625.3659496000009</v>
      </c>
    </row>
    <row r="27" spans="2:19">
      <c r="B27" s="32">
        <v>44805</v>
      </c>
      <c r="C27" s="35">
        <v>51855.58</v>
      </c>
      <c r="D27" s="36">
        <v>5363.8157012000001</v>
      </c>
      <c r="E27" s="8">
        <v>44845</v>
      </c>
      <c r="F27" s="5">
        <v>51855.58</v>
      </c>
      <c r="G27" s="7"/>
      <c r="H27" s="87">
        <f t="shared" si="2"/>
        <v>44805</v>
      </c>
      <c r="I27" s="37">
        <f t="shared" si="3"/>
        <v>5363.8157012000001</v>
      </c>
      <c r="J27" s="38">
        <f t="shared" si="4"/>
        <v>0</v>
      </c>
      <c r="K27" s="3"/>
      <c r="L27" s="3"/>
      <c r="M27" s="3"/>
      <c r="N27" s="28"/>
      <c r="O27" s="13">
        <f t="shared" si="5"/>
        <v>0.10343757993257427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5363.8157012000001</v>
      </c>
    </row>
    <row r="28" spans="2:19">
      <c r="B28" s="32">
        <v>44835</v>
      </c>
      <c r="C28" s="35">
        <v>67963.73</v>
      </c>
      <c r="D28" s="36">
        <v>7038.0338930000007</v>
      </c>
      <c r="E28" s="8">
        <v>44874</v>
      </c>
      <c r="F28" s="5">
        <v>67963.73</v>
      </c>
      <c r="G28" s="7"/>
      <c r="H28" s="87">
        <f t="shared" si="2"/>
        <v>44835</v>
      </c>
      <c r="I28" s="37">
        <f t="shared" si="3"/>
        <v>7038.0338930000007</v>
      </c>
      <c r="J28" s="38">
        <f t="shared" si="4"/>
        <v>0</v>
      </c>
      <c r="K28" s="31"/>
      <c r="L28" s="3"/>
      <c r="M28" s="3"/>
      <c r="N28" s="28"/>
      <c r="O28" s="13">
        <f t="shared" si="5"/>
        <v>0.10355573322711983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7038.0338930000007</v>
      </c>
    </row>
    <row r="29" spans="2:19">
      <c r="B29" s="32">
        <v>44866</v>
      </c>
      <c r="C29" s="35">
        <v>80707.38</v>
      </c>
      <c r="D29" s="36">
        <v>8389.4463638333327</v>
      </c>
      <c r="E29" s="8">
        <v>44918</v>
      </c>
      <c r="F29" s="5">
        <v>80707.38</v>
      </c>
      <c r="G29" s="7"/>
      <c r="H29" s="87">
        <f t="shared" si="2"/>
        <v>44896</v>
      </c>
      <c r="I29" s="37">
        <f t="shared" si="3"/>
        <v>8389.4463638333327</v>
      </c>
      <c r="J29" s="38">
        <f t="shared" si="4"/>
        <v>0</v>
      </c>
      <c r="N29" s="2"/>
      <c r="O29" s="13">
        <f t="shared" ref="O29:O42" si="8">IFERROR(+D29/C29,0)</f>
        <v>0.1039489370592049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8389.4463638333327</v>
      </c>
    </row>
    <row r="30" spans="2:19">
      <c r="B30" s="32">
        <v>44896</v>
      </c>
      <c r="C30" s="35">
        <v>199257.36</v>
      </c>
      <c r="D30" s="36">
        <v>20847.727466270837</v>
      </c>
      <c r="E30" s="8">
        <v>44960</v>
      </c>
      <c r="F30" s="5">
        <v>199257.36</v>
      </c>
      <c r="G30" s="7"/>
      <c r="H30" s="87">
        <f t="shared" si="2"/>
        <v>44927</v>
      </c>
      <c r="I30" s="37">
        <f t="shared" si="3"/>
        <v>20847.727466270837</v>
      </c>
      <c r="J30" s="38">
        <f t="shared" si="4"/>
        <v>0</v>
      </c>
      <c r="N30" s="2"/>
      <c r="O30" s="13">
        <f t="shared" si="8"/>
        <v>0.10462713882323262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20847.727466270837</v>
      </c>
    </row>
    <row r="31" spans="2:19">
      <c r="B31" s="32">
        <v>44927</v>
      </c>
      <c r="C31" s="35">
        <v>27809.77</v>
      </c>
      <c r="D31" s="36">
        <v>2833.3905655000008</v>
      </c>
      <c r="E31" s="8">
        <v>44979</v>
      </c>
      <c r="F31" s="5">
        <v>27809.77</v>
      </c>
      <c r="G31" s="7"/>
      <c r="H31" s="87">
        <f t="shared" si="2"/>
        <v>44958</v>
      </c>
      <c r="I31" s="37">
        <f t="shared" si="3"/>
        <v>2833.3905655000008</v>
      </c>
      <c r="J31" s="38">
        <f t="shared" si="4"/>
        <v>0</v>
      </c>
      <c r="N31" s="2"/>
      <c r="O31" s="13">
        <f t="shared" si="8"/>
        <v>0.10188471769094101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2833.3905655000008</v>
      </c>
    </row>
    <row r="32" spans="2:19">
      <c r="B32" s="32">
        <v>44958</v>
      </c>
      <c r="C32" s="35">
        <v>83136.69</v>
      </c>
      <c r="D32" s="36">
        <v>8656.5641799999994</v>
      </c>
      <c r="E32" s="8">
        <v>44994</v>
      </c>
      <c r="F32" s="5">
        <v>83136.69</v>
      </c>
      <c r="G32" s="7"/>
      <c r="H32" s="87">
        <f t="shared" si="2"/>
        <v>44958</v>
      </c>
      <c r="I32" s="37">
        <f t="shared" si="3"/>
        <v>8656.5641799999994</v>
      </c>
      <c r="J32" s="38">
        <f t="shared" si="4"/>
        <v>0</v>
      </c>
      <c r="N32" s="2"/>
      <c r="O32" s="13">
        <f t="shared" si="8"/>
        <v>0.10412447476559386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8656.5641799999994</v>
      </c>
    </row>
    <row r="33" spans="2:19">
      <c r="B33" s="32">
        <v>44986</v>
      </c>
      <c r="C33" s="35">
        <v>83136.69</v>
      </c>
      <c r="D33" s="36">
        <v>8656.5641799999994</v>
      </c>
      <c r="E33" s="8">
        <v>45030</v>
      </c>
      <c r="F33" s="5">
        <v>83136.69</v>
      </c>
      <c r="G33" s="7"/>
      <c r="H33" s="87">
        <f t="shared" si="2"/>
        <v>44986</v>
      </c>
      <c r="I33" s="37">
        <f t="shared" si="3"/>
        <v>8656.5641799999994</v>
      </c>
      <c r="J33" s="38">
        <f t="shared" si="4"/>
        <v>0</v>
      </c>
      <c r="N33" s="2"/>
      <c r="O33" s="13">
        <f t="shared" si="8"/>
        <v>0.10412447476559386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8656.5641799999994</v>
      </c>
    </row>
    <row r="34" spans="2:19">
      <c r="B34" s="32">
        <v>45017</v>
      </c>
      <c r="C34" s="35">
        <v>83136.69</v>
      </c>
      <c r="D34" s="36">
        <v>8656.5641799999994</v>
      </c>
      <c r="E34" s="8"/>
      <c r="F34" s="5"/>
      <c r="G34" s="7"/>
      <c r="H34" s="87" t="str">
        <f t="shared" si="2"/>
        <v/>
      </c>
      <c r="I34" s="37">
        <f t="shared" si="3"/>
        <v>0</v>
      </c>
      <c r="J34" s="38">
        <f t="shared" si="4"/>
        <v>83136.69</v>
      </c>
      <c r="N34" s="2"/>
      <c r="O34" s="13">
        <f t="shared" si="8"/>
        <v>0.10412447476559386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8656.5641799999994</v>
      </c>
    </row>
    <row r="35" spans="2:19">
      <c r="B35" s="32">
        <v>45047</v>
      </c>
      <c r="C35" s="35"/>
      <c r="D35" s="36"/>
      <c r="E35" s="8"/>
      <c r="F35" s="5"/>
      <c r="G35" s="7"/>
      <c r="H35" s="87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87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87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87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87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87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87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87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zoomScale="85" zoomScaleNormal="85" workbookViewId="0">
      <pane ySplit="5" topLeftCell="A9" activePane="bottomLeft" state="frozen"/>
      <selection pane="bottomLeft" activeCell="G22" sqref="G22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&lt;=44135</v>
      </c>
    </row>
    <row r="2" spans="1:11">
      <c r="F2" s="18"/>
      <c r="G2" s="61">
        <v>32874</v>
      </c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36" t="s">
        <v>75</v>
      </c>
      <c r="C6" s="136"/>
      <c r="D6" s="136"/>
      <c r="E6" s="136"/>
      <c r="G6" s="59">
        <f>IF(A6="Plan",SUMIF('Control de pagos'!B:B,Descripción!B6,'Control de pagos'!D:D),"")</f>
        <v>1328.13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1328.13</v>
      </c>
    </row>
    <row r="7" spans="1:11">
      <c r="A7" s="46" t="s">
        <v>57</v>
      </c>
      <c r="B7" s="47">
        <v>44165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3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1328.13</v>
      </c>
      <c r="C14" s="50">
        <v>1</v>
      </c>
      <c r="D14" s="52">
        <v>0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1328.13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36" t="s">
        <v>88</v>
      </c>
      <c r="C19" s="136"/>
      <c r="D19" s="136"/>
      <c r="E19" s="136"/>
      <c r="G19" s="59">
        <f>IF(A19="Plan",SUMIF('Control de pagos'!B:B,Descripción!B19,'Control de pagos'!D:D),"")</f>
        <v>259822.93000000002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259822.93000000002</v>
      </c>
    </row>
    <row r="20" spans="1:9">
      <c r="A20" s="46" t="s">
        <v>57</v>
      </c>
      <c r="B20" s="47">
        <v>44879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89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20.25" customHeight="1" thickBot="1">
      <c r="A25" s="126" t="s">
        <v>48</v>
      </c>
      <c r="B25" s="126" t="s">
        <v>49</v>
      </c>
      <c r="C25" s="126" t="s">
        <v>50</v>
      </c>
      <c r="D25" s="128" t="s">
        <v>51</v>
      </c>
      <c r="E25" s="129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27"/>
      <c r="B26" s="127"/>
      <c r="C26" s="127"/>
      <c r="D26" s="93" t="s">
        <v>52</v>
      </c>
      <c r="E26" s="93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94" t="s">
        <v>53</v>
      </c>
      <c r="B27" s="95" t="s">
        <v>90</v>
      </c>
      <c r="C27" s="130">
        <v>4</v>
      </c>
      <c r="D27" s="133">
        <v>5.57E-2</v>
      </c>
      <c r="E27" s="133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94" t="s">
        <v>54</v>
      </c>
      <c r="B28" s="95" t="s">
        <v>91</v>
      </c>
      <c r="C28" s="131"/>
      <c r="D28" s="134"/>
      <c r="E28" s="134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94" t="s">
        <v>55</v>
      </c>
      <c r="B29" s="95" t="s">
        <v>91</v>
      </c>
      <c r="C29" s="131"/>
      <c r="D29" s="134"/>
      <c r="E29" s="134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94" t="s">
        <v>56</v>
      </c>
      <c r="B30" s="96" t="s">
        <v>90</v>
      </c>
      <c r="C30" s="131"/>
      <c r="D30" s="134"/>
      <c r="E30" s="134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97"/>
      <c r="B31" s="98"/>
      <c r="C31" s="132"/>
      <c r="D31" s="135"/>
      <c r="E31" s="135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36"/>
      <c r="C32" s="136"/>
      <c r="D32" s="136"/>
      <c r="E32" s="136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36"/>
      <c r="C45" s="136"/>
      <c r="D45" s="136"/>
      <c r="E45" s="136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36"/>
      <c r="C58" s="136"/>
      <c r="D58" s="136"/>
      <c r="E58" s="136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36"/>
      <c r="C71" s="136"/>
      <c r="D71" s="136"/>
      <c r="E71" s="136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36"/>
      <c r="C84" s="136"/>
      <c r="D84" s="136"/>
      <c r="E84" s="136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36"/>
      <c r="C97" s="136"/>
      <c r="D97" s="136"/>
      <c r="E97" s="136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36"/>
      <c r="C110" s="136"/>
      <c r="D110" s="136"/>
      <c r="E110" s="136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36"/>
      <c r="C123" s="136"/>
      <c r="D123" s="136"/>
      <c r="E123" s="136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36"/>
      <c r="C136" s="136"/>
      <c r="D136" s="136"/>
      <c r="E136" s="136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36"/>
      <c r="C149" s="136"/>
      <c r="D149" s="136"/>
      <c r="E149" s="136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9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  <mergeCell ref="A25:A26"/>
    <mergeCell ref="B25:B26"/>
    <mergeCell ref="C25:C26"/>
    <mergeCell ref="D25:E25"/>
    <mergeCell ref="C27:C31"/>
    <mergeCell ref="D27:D31"/>
    <mergeCell ref="E27:E3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70" zoomScaleNormal="70" workbookViewId="0">
      <pane ySplit="3" topLeftCell="A4" activePane="bottomLeft" state="frozen"/>
      <selection pane="bottomLeft" activeCell="Q18" sqref="Q18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37" t="s">
        <v>12</v>
      </c>
      <c r="C1" s="137"/>
      <c r="D1" s="137"/>
      <c r="E1" s="137"/>
      <c r="F1" s="137"/>
      <c r="G1" s="137"/>
      <c r="H1" s="137"/>
      <c r="I1" s="137"/>
      <c r="J1" s="137"/>
      <c r="K1" s="137"/>
      <c r="O1" s="138" t="s">
        <v>17</v>
      </c>
      <c r="P1" s="138"/>
      <c r="Q1" s="138"/>
      <c r="R1" s="138"/>
      <c r="S1" s="138"/>
      <c r="T1" s="138"/>
      <c r="U1" s="138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4" t="s">
        <v>80</v>
      </c>
      <c r="C4"/>
      <c r="D4"/>
      <c r="E4"/>
      <c r="F4"/>
      <c r="G4"/>
      <c r="H4"/>
      <c r="I4"/>
      <c r="J4"/>
      <c r="K4"/>
      <c r="N4" s="3" t="s">
        <v>75</v>
      </c>
      <c r="O4" s="74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0" t="s">
        <v>0</v>
      </c>
      <c r="C5" s="80" t="s">
        <v>1</v>
      </c>
      <c r="D5" s="80" t="s">
        <v>2</v>
      </c>
      <c r="E5" s="80" t="s">
        <v>3</v>
      </c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N5" s="3" t="s">
        <v>75</v>
      </c>
      <c r="O5" s="80" t="s">
        <v>13</v>
      </c>
      <c r="P5" s="80" t="s">
        <v>14</v>
      </c>
      <c r="Q5" s="80" t="s">
        <v>3</v>
      </c>
      <c r="R5" s="80" t="s">
        <v>4</v>
      </c>
      <c r="S5" s="80" t="s">
        <v>5</v>
      </c>
      <c r="T5" s="80" t="s">
        <v>15</v>
      </c>
      <c r="U5" s="80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5">
        <v>2017</v>
      </c>
      <c r="C6" s="75"/>
      <c r="D6" s="75"/>
      <c r="E6" s="76" t="s">
        <v>81</v>
      </c>
      <c r="F6" s="76" t="s">
        <v>10</v>
      </c>
      <c r="G6" s="76" t="s">
        <v>10</v>
      </c>
      <c r="H6" s="77">
        <v>43263</v>
      </c>
      <c r="I6" s="78">
        <v>1250</v>
      </c>
      <c r="J6" s="79">
        <v>187.5</v>
      </c>
      <c r="K6" s="78">
        <v>1062.5</v>
      </c>
      <c r="N6" s="3" t="s">
        <v>75</v>
      </c>
      <c r="O6" s="75" t="s">
        <v>83</v>
      </c>
      <c r="P6" s="79">
        <v>265.63</v>
      </c>
      <c r="Q6" s="76" t="s">
        <v>81</v>
      </c>
      <c r="R6" s="76" t="s">
        <v>10</v>
      </c>
      <c r="S6" s="76" t="s">
        <v>82</v>
      </c>
      <c r="T6" s="75" t="s">
        <v>84</v>
      </c>
      <c r="U6" s="75" t="s">
        <v>85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1">
        <v>2017</v>
      </c>
      <c r="C7" s="81"/>
      <c r="D7" s="81"/>
      <c r="E7" s="82" t="s">
        <v>81</v>
      </c>
      <c r="F7" s="82" t="s">
        <v>10</v>
      </c>
      <c r="G7" s="82" t="s">
        <v>82</v>
      </c>
      <c r="H7" s="83">
        <v>44165</v>
      </c>
      <c r="I7" s="84">
        <v>1310.48</v>
      </c>
      <c r="J7" s="84">
        <v>1044.8499999999999</v>
      </c>
      <c r="K7" s="85">
        <v>265.63</v>
      </c>
      <c r="N7" s="3" t="s">
        <v>75</v>
      </c>
      <c r="O7" s="81" t="s">
        <v>83</v>
      </c>
      <c r="P7" s="84">
        <v>1062.5</v>
      </c>
      <c r="Q7" s="82" t="s">
        <v>81</v>
      </c>
      <c r="R7" s="82" t="s">
        <v>10</v>
      </c>
      <c r="S7" s="82" t="s">
        <v>10</v>
      </c>
      <c r="T7" s="81" t="s">
        <v>84</v>
      </c>
      <c r="U7" s="81" t="s">
        <v>85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88</v>
      </c>
      <c r="B9" s="99" t="s">
        <v>80</v>
      </c>
      <c r="C9"/>
      <c r="D9"/>
      <c r="E9"/>
      <c r="F9"/>
      <c r="G9"/>
      <c r="H9"/>
      <c r="I9"/>
      <c r="J9"/>
      <c r="K9"/>
      <c r="N9" s="3" t="s">
        <v>88</v>
      </c>
      <c r="O9" s="99" t="s">
        <v>17</v>
      </c>
      <c r="P9"/>
      <c r="Q9"/>
      <c r="R9"/>
      <c r="S9"/>
      <c r="T9"/>
      <c r="U9"/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88</v>
      </c>
      <c r="B10" s="80" t="s">
        <v>0</v>
      </c>
      <c r="C10" s="80" t="s">
        <v>1</v>
      </c>
      <c r="D10" s="80" t="s">
        <v>2</v>
      </c>
      <c r="E10" s="80" t="s">
        <v>3</v>
      </c>
      <c r="F10" s="80" t="s">
        <v>4</v>
      </c>
      <c r="G10" s="80" t="s">
        <v>5</v>
      </c>
      <c r="H10" s="80" t="s">
        <v>6</v>
      </c>
      <c r="I10" s="80" t="s">
        <v>7</v>
      </c>
      <c r="J10" s="80" t="s">
        <v>8</v>
      </c>
      <c r="K10" s="80" t="s">
        <v>9</v>
      </c>
      <c r="N10" s="3" t="s">
        <v>88</v>
      </c>
      <c r="O10" s="80" t="s">
        <v>13</v>
      </c>
      <c r="P10" s="80" t="s">
        <v>14</v>
      </c>
      <c r="Q10" s="80" t="s">
        <v>3</v>
      </c>
      <c r="R10" s="80" t="s">
        <v>4</v>
      </c>
      <c r="S10" s="80" t="s">
        <v>5</v>
      </c>
      <c r="T10" s="80" t="s">
        <v>15</v>
      </c>
      <c r="U10" s="80" t="s">
        <v>16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88</v>
      </c>
      <c r="B11" s="81">
        <v>2022</v>
      </c>
      <c r="C11" s="81"/>
      <c r="D11" s="81"/>
      <c r="E11" s="82" t="s">
        <v>92</v>
      </c>
      <c r="F11" s="82" t="s">
        <v>10</v>
      </c>
      <c r="G11" s="82" t="s">
        <v>10</v>
      </c>
      <c r="H11" s="83">
        <v>44881</v>
      </c>
      <c r="I11" s="84">
        <v>259822.93</v>
      </c>
      <c r="J11" s="85">
        <v>0</v>
      </c>
      <c r="K11" s="84">
        <v>259822.93</v>
      </c>
      <c r="N11" s="3" t="s">
        <v>88</v>
      </c>
      <c r="O11" s="75" t="s">
        <v>93</v>
      </c>
      <c r="P11" s="78">
        <v>64955.73</v>
      </c>
      <c r="Q11" s="76" t="s">
        <v>92</v>
      </c>
      <c r="R11" s="76" t="s">
        <v>10</v>
      </c>
      <c r="S11" s="76" t="s">
        <v>10</v>
      </c>
      <c r="T11" s="75" t="s">
        <v>94</v>
      </c>
      <c r="U11" s="75" t="s">
        <v>85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N12" s="3" t="s">
        <v>88</v>
      </c>
      <c r="O12" s="81">
        <v>1</v>
      </c>
      <c r="P12" s="84">
        <v>61468.38</v>
      </c>
      <c r="Q12" s="82" t="s">
        <v>92</v>
      </c>
      <c r="R12" s="82" t="s">
        <v>10</v>
      </c>
      <c r="S12" s="82" t="s">
        <v>10</v>
      </c>
      <c r="T12" s="81" t="s">
        <v>94</v>
      </c>
      <c r="U12" s="81" t="s">
        <v>95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N13" s="3" t="s">
        <v>88</v>
      </c>
      <c r="O13" s="81">
        <v>2</v>
      </c>
      <c r="P13" s="84">
        <v>64892.160000000003</v>
      </c>
      <c r="Q13" s="82" t="s">
        <v>92</v>
      </c>
      <c r="R13" s="82" t="s">
        <v>10</v>
      </c>
      <c r="S13" s="82" t="s">
        <v>10</v>
      </c>
      <c r="T13" s="81" t="s">
        <v>94</v>
      </c>
      <c r="U13" s="81" t="s">
        <v>95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N14" s="3" t="s">
        <v>88</v>
      </c>
      <c r="O14" s="81">
        <v>3</v>
      </c>
      <c r="P14" s="84">
        <v>68506.66</v>
      </c>
      <c r="Q14" s="82" t="s">
        <v>92</v>
      </c>
      <c r="R14" s="82" t="s">
        <v>10</v>
      </c>
      <c r="S14" s="82" t="s">
        <v>10</v>
      </c>
      <c r="T14" s="81" t="s">
        <v>94</v>
      </c>
      <c r="U14" s="81" t="s">
        <v>95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workbookViewId="0">
      <pane ySplit="2" topLeftCell="A3" activePane="bottomLeft" state="frozen"/>
      <selection activeCell="B1" sqref="B1"/>
      <selection pane="bottomLeft" activeCell="K15" sqref="K15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37" t="s">
        <v>30</v>
      </c>
      <c r="D1" s="137"/>
      <c r="E1" s="137"/>
      <c r="F1" s="137"/>
      <c r="G1" s="137"/>
      <c r="H1" s="137"/>
      <c r="K1" s="68">
        <f>'Resumen Mail'!B7</f>
        <v>45017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24.75" thickBot="1">
      <c r="A3" s="11" t="str">
        <f>B3&amp;" "&amp;IF(C3="",C2,C3)</f>
        <v>O428759 Pago contado</v>
      </c>
      <c r="B3" s="3" t="s">
        <v>75</v>
      </c>
      <c r="C3" s="88" t="s">
        <v>83</v>
      </c>
      <c r="D3" s="89">
        <v>1328.13</v>
      </c>
      <c r="E3" s="90" t="s">
        <v>86</v>
      </c>
      <c r="F3" s="90" t="s">
        <v>86</v>
      </c>
      <c r="G3" s="89">
        <v>1328.13</v>
      </c>
      <c r="H3" s="91">
        <v>44165</v>
      </c>
      <c r="I3" s="41">
        <v>44165</v>
      </c>
      <c r="J3" s="30">
        <f t="shared" ref="J3:J15" si="0">IF(I3&lt;&gt;"",I3-DAY(I3)+1,IF(A2=A3,IF(I2&lt;&gt;"","-",""),IF(A3=A4,IF(I4&lt;&gt;"","-",""),"")))</f>
        <v>44136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1328.13</v>
      </c>
    </row>
    <row r="4" spans="1:14" ht="15.75" thickBot="1">
      <c r="A4" s="11" t="str">
        <f t="shared" ref="A4:A41" si="1">B4&amp;" "&amp;IF(C4="",C3,C4)</f>
        <v xml:space="preserve"> Pago contado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1328.13</v>
      </c>
    </row>
    <row r="5" spans="1:14" ht="24.75" thickBot="1">
      <c r="A5" s="11" t="str">
        <f t="shared" si="1"/>
        <v>Q989505 Pago a cuenta</v>
      </c>
      <c r="B5" s="3" t="s">
        <v>88</v>
      </c>
      <c r="C5" s="102" t="s">
        <v>93</v>
      </c>
      <c r="D5" s="103">
        <v>64955.73</v>
      </c>
      <c r="E5" s="104" t="s">
        <v>86</v>
      </c>
      <c r="F5" s="104" t="s">
        <v>86</v>
      </c>
      <c r="G5" s="103">
        <v>64955.73</v>
      </c>
      <c r="H5" s="105">
        <v>44879</v>
      </c>
      <c r="I5" s="41">
        <v>44879</v>
      </c>
      <c r="J5" s="30">
        <f t="shared" si="0"/>
        <v>44866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64955.73</v>
      </c>
    </row>
    <row r="6" spans="1:14" ht="15.75" thickBot="1">
      <c r="A6" s="11" t="str">
        <f t="shared" si="1"/>
        <v>Q989505 1</v>
      </c>
      <c r="B6" s="3" t="s">
        <v>88</v>
      </c>
      <c r="C6" s="143">
        <v>1</v>
      </c>
      <c r="D6" s="145">
        <v>61468.38</v>
      </c>
      <c r="E6" s="106">
        <v>10854.1</v>
      </c>
      <c r="F6" s="107" t="s">
        <v>86</v>
      </c>
      <c r="G6" s="106">
        <v>72322.48</v>
      </c>
      <c r="H6" s="108">
        <v>44911</v>
      </c>
      <c r="I6" s="41">
        <v>44911</v>
      </c>
      <c r="J6" s="30">
        <f t="shared" si="0"/>
        <v>44896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61468.38</v>
      </c>
    </row>
    <row r="7" spans="1:14" ht="15.75" thickBot="1">
      <c r="A7" s="11" t="str">
        <f t="shared" si="1"/>
        <v>Q989505 1</v>
      </c>
      <c r="B7" s="3" t="s">
        <v>88</v>
      </c>
      <c r="C7" s="144"/>
      <c r="D7" s="146"/>
      <c r="E7" s="100">
        <v>10854.1</v>
      </c>
      <c r="F7" s="100">
        <v>1424.75</v>
      </c>
      <c r="G7" s="100">
        <v>73747.23</v>
      </c>
      <c r="H7" s="101">
        <v>44921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61468.38</v>
      </c>
    </row>
    <row r="8" spans="1:14" ht="15.75" thickBot="1">
      <c r="A8" s="11" t="str">
        <f t="shared" si="1"/>
        <v>Q989505 2</v>
      </c>
      <c r="B8" s="3" t="s">
        <v>88</v>
      </c>
      <c r="C8" s="139">
        <v>2</v>
      </c>
      <c r="D8" s="141">
        <v>64892.160000000003</v>
      </c>
      <c r="E8" s="109">
        <v>7430.32</v>
      </c>
      <c r="F8" s="110" t="s">
        <v>86</v>
      </c>
      <c r="G8" s="109">
        <v>72322.48</v>
      </c>
      <c r="H8" s="111">
        <v>44942</v>
      </c>
      <c r="I8" s="41">
        <v>44942</v>
      </c>
      <c r="J8" s="30">
        <f t="shared" si="0"/>
        <v>44927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64892.160000000003</v>
      </c>
    </row>
    <row r="9" spans="1:14" ht="15.75" thickBot="1">
      <c r="A9" s="11" t="str">
        <f t="shared" si="1"/>
        <v>Q989505 2</v>
      </c>
      <c r="B9" s="3" t="s">
        <v>88</v>
      </c>
      <c r="C9" s="140"/>
      <c r="D9" s="142"/>
      <c r="E9" s="100">
        <v>7430.32</v>
      </c>
      <c r="F9" s="100">
        <v>1424.75</v>
      </c>
      <c r="G9" s="100">
        <v>73747.23</v>
      </c>
      <c r="H9" s="101">
        <v>44952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64892.160000000003</v>
      </c>
    </row>
    <row r="10" spans="1:14" ht="15.75" thickBot="1">
      <c r="A10" s="11" t="str">
        <f t="shared" si="1"/>
        <v>Q989505 3</v>
      </c>
      <c r="B10" s="3" t="s">
        <v>88</v>
      </c>
      <c r="C10" s="139">
        <v>3</v>
      </c>
      <c r="D10" s="141">
        <v>68506.66</v>
      </c>
      <c r="E10" s="109">
        <v>3815.82</v>
      </c>
      <c r="F10" s="110" t="s">
        <v>86</v>
      </c>
      <c r="G10" s="109">
        <v>72322.48</v>
      </c>
      <c r="H10" s="111">
        <v>44973</v>
      </c>
      <c r="I10" s="41">
        <v>44973</v>
      </c>
      <c r="J10" s="30">
        <f t="shared" si="0"/>
        <v>44958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68506.66</v>
      </c>
    </row>
    <row r="11" spans="1:14" ht="15.75" thickBot="1">
      <c r="A11" s="11" t="str">
        <f t="shared" si="1"/>
        <v>Q989505 3</v>
      </c>
      <c r="B11" s="3" t="s">
        <v>88</v>
      </c>
      <c r="C11" s="140"/>
      <c r="D11" s="142"/>
      <c r="E11" s="100">
        <v>3815.82</v>
      </c>
      <c r="F11" s="100">
        <v>1424.75</v>
      </c>
      <c r="G11" s="100">
        <v>73747.23</v>
      </c>
      <c r="H11" s="101">
        <v>44983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68506.66</v>
      </c>
    </row>
    <row r="12" spans="1:14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7">
    <mergeCell ref="C10:C11"/>
    <mergeCell ref="D10:D11"/>
    <mergeCell ref="C1:H1"/>
    <mergeCell ref="C6:C7"/>
    <mergeCell ref="D6:D7"/>
    <mergeCell ref="C8:C9"/>
    <mergeCell ref="D8:D9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2" sqref="E12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45017</v>
      </c>
      <c r="C7" s="29">
        <f>SUMIF(SUSS!H:H,'Control de pagos'!K1,SUSS!I:I)</f>
        <v>0</v>
      </c>
      <c r="D7" s="29">
        <f>'Control de pagos'!K2</f>
        <v>0</v>
      </c>
      <c r="E7" s="42">
        <f>C7+D7</f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44135</v>
      </c>
      <c r="F3" s="62"/>
      <c r="G3" s="63" t="str">
        <f>"&gt;="&amp;D3</f>
        <v>&gt;=43770</v>
      </c>
      <c r="H3" s="63" t="str">
        <f>"&lt;="&amp;E3</f>
        <v>&lt;=44135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O428759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Q989505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2023-05-15T14:42:22Z</dcterms:modified>
</cp:coreProperties>
</file>